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71" windowWidth="12120" windowHeight="9120" tabRatio="917" activeTab="3"/>
  </bookViews>
  <sheets>
    <sheet name="week1 fecal" sheetId="1" r:id="rId1"/>
    <sheet name="week2 fecal" sheetId="2" r:id="rId2"/>
    <sheet name="week3 fecal" sheetId="3" r:id="rId3"/>
    <sheet name="week4 fecal" sheetId="4" r:id="rId4"/>
    <sheet name="week3.nutrients" sheetId="5" r:id="rId5"/>
    <sheet name="week3.herbicides" sheetId="6" r:id="rId6"/>
  </sheets>
  <definedNames/>
  <calcPr fullCalcOnLoad="1"/>
</workbook>
</file>

<file path=xl/sharedStrings.xml><?xml version="1.0" encoding="utf-8"?>
<sst xmlns="http://schemas.openxmlformats.org/spreadsheetml/2006/main" count="404" uniqueCount="65">
  <si>
    <t>Clear @ 163</t>
  </si>
  <si>
    <t>ND</t>
  </si>
  <si>
    <t>Gans @ 163</t>
  </si>
  <si>
    <t>Devils Icebox Resurgence</t>
  </si>
  <si>
    <t>Bonne Femme @ 63</t>
  </si>
  <si>
    <t>Turkey @ 63</t>
  </si>
  <si>
    <t>Hunters Cave Resurgence</t>
  </si>
  <si>
    <t>Bass above Hunters</t>
  </si>
  <si>
    <t>Little Bonne Femme @ Woody Proctor Rd.</t>
  </si>
  <si>
    <t>Fox Hollow @ Harold Cunningham Rd.</t>
  </si>
  <si>
    <t>Sample Date</t>
  </si>
  <si>
    <t>Sample Type</t>
  </si>
  <si>
    <t>Sample Location</t>
  </si>
  <si>
    <t>CFU/100 mL</t>
  </si>
  <si>
    <t>Week #</t>
  </si>
  <si>
    <t>Week 1</t>
  </si>
  <si>
    <t>Week 2</t>
  </si>
  <si>
    <t>Week 3</t>
  </si>
  <si>
    <t xml:space="preserve">Week 4 </t>
  </si>
  <si>
    <t>†</t>
  </si>
  <si>
    <t>‡</t>
  </si>
  <si>
    <t>§</t>
  </si>
  <si>
    <t>#</t>
  </si>
  <si>
    <t>grab sample</t>
  </si>
  <si>
    <t>NA</t>
  </si>
  <si>
    <t>Field Duplicate of Gans @163</t>
  </si>
  <si>
    <t>Field Blank</t>
  </si>
  <si>
    <t>Lab Blank</t>
  </si>
  <si>
    <t>Bonne Femme @ Nashville Church Rd.</t>
  </si>
  <si>
    <t>µg/L</t>
  </si>
  <si>
    <t>CFS†</t>
  </si>
  <si>
    <t>CFU‡/100 mL</t>
  </si>
  <si>
    <t>Cubic Feet/Second</t>
  </si>
  <si>
    <t>Colony Forming Unit</t>
  </si>
  <si>
    <t>Not Determined</t>
  </si>
  <si>
    <t>ND§</t>
  </si>
  <si>
    <t>Not Applicable</t>
  </si>
  <si>
    <t>QA/QC‡</t>
  </si>
  <si>
    <t>mg/L</t>
  </si>
  <si>
    <t>% Duplicate Difference</t>
  </si>
  <si>
    <t>sample duplicated</t>
  </si>
  <si>
    <t>Stream Discharge</t>
  </si>
  <si>
    <t>Fecal Coliforms</t>
  </si>
  <si>
    <t xml:space="preserve"> E. coli</t>
  </si>
  <si>
    <t>Field Duplicate of Little Bonne Femme @ Woody Proctor Rd.</t>
  </si>
  <si>
    <t>Field Duplicate of Devils Icebox Resurgence</t>
  </si>
  <si>
    <t>QA/QC (Total N data corrected using the average of the two blanks)</t>
  </si>
  <si>
    <t xml:space="preserve"> Total Phosphorus</t>
  </si>
  <si>
    <t xml:space="preserve"> Total Nitrogen</t>
  </si>
  <si>
    <t xml:space="preserve"> Dissolved PO4-P</t>
  </si>
  <si>
    <t xml:space="preserve"> Dissolved NH4-N</t>
  </si>
  <si>
    <t xml:space="preserve"> Dissolved (NO2 + NO3)-N</t>
  </si>
  <si>
    <t xml:space="preserve"> Deisopropylatrazine</t>
  </si>
  <si>
    <t xml:space="preserve"> Deethylatrazine</t>
  </si>
  <si>
    <t xml:space="preserve"> Atrazine</t>
  </si>
  <si>
    <t xml:space="preserve"> Metribuzin</t>
  </si>
  <si>
    <t xml:space="preserve"> Acetachlor</t>
  </si>
  <si>
    <t xml:space="preserve"> Alachlor</t>
  </si>
  <si>
    <t xml:space="preserve"> Metolachlor</t>
  </si>
  <si>
    <t>LOD†</t>
  </si>
  <si>
    <t>LOD = Limit of Detection</t>
  </si>
  <si>
    <t xml:space="preserve">% Duplicate Difference </t>
  </si>
  <si>
    <t>Summary of all 4 Weeks</t>
  </si>
  <si>
    <t>Mean</t>
  </si>
  <si>
    <t>E. Coli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</si>
</sst>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[$-409]dddd\,\ mmmm\ dd\,\ yyyy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165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2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left" wrapText="1"/>
    </xf>
    <xf numFmtId="2" fontId="0" fillId="0" borderId="2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3" borderId="2" xfId="0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8" sqref="E8"/>
    </sheetView>
  </sheetViews>
  <sheetFormatPr defaultColWidth="9.140625" defaultRowHeight="12.75"/>
  <cols>
    <col min="1" max="1" width="7.28125" style="3" customWidth="1"/>
    <col min="2" max="2" width="8.140625" style="3" customWidth="1"/>
    <col min="3" max="3" width="29.00390625" style="3" customWidth="1"/>
    <col min="4" max="4" width="38.00390625" style="3" customWidth="1"/>
    <col min="5" max="5" width="11.8515625" style="3" customWidth="1"/>
    <col min="6" max="6" width="13.7109375" style="3" customWidth="1"/>
    <col min="7" max="7" width="11.421875" style="3" bestFit="1" customWidth="1"/>
    <col min="8" max="16384" width="9.140625" style="3" customWidth="1"/>
  </cols>
  <sheetData>
    <row r="1" spans="1:8" ht="25.5">
      <c r="A1" s="13" t="s">
        <v>14</v>
      </c>
      <c r="B1" s="14" t="s">
        <v>10</v>
      </c>
      <c r="C1" s="13" t="s">
        <v>11</v>
      </c>
      <c r="D1" s="13" t="s">
        <v>12</v>
      </c>
      <c r="E1" s="11" t="s">
        <v>41</v>
      </c>
      <c r="F1" s="12" t="s">
        <v>42</v>
      </c>
      <c r="G1" s="12" t="s">
        <v>43</v>
      </c>
      <c r="H1" s="15"/>
    </row>
    <row r="2" spans="1:8" ht="12.75">
      <c r="A2" s="16"/>
      <c r="B2" s="17"/>
      <c r="C2" s="16"/>
      <c r="D2" s="16"/>
      <c r="E2" s="16" t="s">
        <v>30</v>
      </c>
      <c r="F2" s="18" t="s">
        <v>31</v>
      </c>
      <c r="G2" s="18" t="s">
        <v>13</v>
      </c>
      <c r="H2" s="15"/>
    </row>
    <row r="3" spans="1:8" s="1" customFormat="1" ht="15" customHeight="1">
      <c r="A3" s="16" t="s">
        <v>15</v>
      </c>
      <c r="B3" s="19">
        <v>38142</v>
      </c>
      <c r="C3" s="16" t="s">
        <v>23</v>
      </c>
      <c r="D3" s="16" t="s">
        <v>0</v>
      </c>
      <c r="E3" s="20" t="s">
        <v>35</v>
      </c>
      <c r="F3" s="46">
        <f>(73/70.06)*100</f>
        <v>104.19640308307166</v>
      </c>
      <c r="G3" s="46">
        <f>(81/67.6)*100</f>
        <v>119.8224852071006</v>
      </c>
      <c r="H3" s="18"/>
    </row>
    <row r="4" spans="1:8" s="1" customFormat="1" ht="15" customHeight="1">
      <c r="A4" s="16" t="s">
        <v>15</v>
      </c>
      <c r="B4" s="19">
        <v>38142</v>
      </c>
      <c r="C4" s="16" t="s">
        <v>23</v>
      </c>
      <c r="D4" s="16" t="s">
        <v>2</v>
      </c>
      <c r="E4" s="20" t="s">
        <v>1</v>
      </c>
      <c r="F4" s="46">
        <f>(51/48.09)*100</f>
        <v>106.05115408608859</v>
      </c>
      <c r="G4" s="46">
        <f>(29/56.85)*100</f>
        <v>51.01143359718557</v>
      </c>
      <c r="H4" s="18"/>
    </row>
    <row r="5" spans="1:8" s="1" customFormat="1" ht="15" customHeight="1">
      <c r="A5" s="16" t="s">
        <v>15</v>
      </c>
      <c r="B5" s="19">
        <v>38142</v>
      </c>
      <c r="C5" s="16" t="s">
        <v>23</v>
      </c>
      <c r="D5" s="16" t="s">
        <v>3</v>
      </c>
      <c r="E5" s="20">
        <v>0.58111545</v>
      </c>
      <c r="F5" s="46">
        <f>(135/46.1)*100</f>
        <v>292.8416485900217</v>
      </c>
      <c r="G5" s="46">
        <f>(98/51.34)*100</f>
        <v>190.8843007401636</v>
      </c>
      <c r="H5" s="18"/>
    </row>
    <row r="6" spans="1:8" s="1" customFormat="1" ht="15" customHeight="1">
      <c r="A6" s="16" t="s">
        <v>15</v>
      </c>
      <c r="B6" s="19">
        <v>38142</v>
      </c>
      <c r="C6" s="16" t="s">
        <v>23</v>
      </c>
      <c r="D6" s="16" t="s">
        <v>4</v>
      </c>
      <c r="E6" s="20" t="s">
        <v>1</v>
      </c>
      <c r="F6" s="46">
        <f>(37/49.26)*100</f>
        <v>75.11165245635404</v>
      </c>
      <c r="G6" s="46">
        <f>(40/64.71)*100</f>
        <v>61.81424818420646</v>
      </c>
      <c r="H6" s="18"/>
    </row>
    <row r="7" spans="1:8" s="1" customFormat="1" ht="15" customHeight="1">
      <c r="A7" s="42" t="s">
        <v>15</v>
      </c>
      <c r="B7" s="47">
        <v>38142</v>
      </c>
      <c r="C7" s="42" t="s">
        <v>23</v>
      </c>
      <c r="D7" s="42" t="s">
        <v>5</v>
      </c>
      <c r="E7" s="48" t="s">
        <v>1</v>
      </c>
      <c r="F7" s="46">
        <f>(174/47.83)*100</f>
        <v>363.78841731131087</v>
      </c>
      <c r="G7" s="46">
        <f>(79/34.36)*100</f>
        <v>229.918509895227</v>
      </c>
      <c r="H7" s="18"/>
    </row>
    <row r="8" spans="1:8" s="1" customFormat="1" ht="15" customHeight="1">
      <c r="A8" s="16" t="s">
        <v>15</v>
      </c>
      <c r="B8" s="19">
        <v>38142</v>
      </c>
      <c r="C8" s="16" t="s">
        <v>23</v>
      </c>
      <c r="D8" s="16" t="s">
        <v>6</v>
      </c>
      <c r="E8" s="20">
        <v>2.161197</v>
      </c>
      <c r="F8" s="46">
        <f>(59/61.17)*100</f>
        <v>96.4525094000327</v>
      </c>
      <c r="G8" s="46">
        <v>47</v>
      </c>
      <c r="H8" s="18"/>
    </row>
    <row r="9" spans="1:8" s="1" customFormat="1" ht="15" customHeight="1">
      <c r="A9" s="16" t="s">
        <v>15</v>
      </c>
      <c r="B9" s="19">
        <v>38142</v>
      </c>
      <c r="C9" s="16" t="s">
        <v>23</v>
      </c>
      <c r="D9" s="16" t="s">
        <v>7</v>
      </c>
      <c r="E9" s="20" t="s">
        <v>1</v>
      </c>
      <c r="F9" s="46">
        <f>(89/53.51)*100</f>
        <v>166.32405157914408</v>
      </c>
      <c r="G9" s="46">
        <v>38</v>
      </c>
      <c r="H9" s="18"/>
    </row>
    <row r="10" spans="1:8" s="1" customFormat="1" ht="15" customHeight="1">
      <c r="A10" s="16" t="s">
        <v>15</v>
      </c>
      <c r="B10" s="19">
        <v>38142</v>
      </c>
      <c r="C10" s="16" t="s">
        <v>23</v>
      </c>
      <c r="D10" s="16" t="s">
        <v>28</v>
      </c>
      <c r="E10" s="20" t="s">
        <v>1</v>
      </c>
      <c r="F10" s="46">
        <f>(154/47.03)*100</f>
        <v>327.4505634701254</v>
      </c>
      <c r="G10" s="46">
        <f>(138/68.18)*100</f>
        <v>202.40539747726604</v>
      </c>
      <c r="H10" s="18"/>
    </row>
    <row r="11" spans="1:8" s="1" customFormat="1" ht="15" customHeight="1">
      <c r="A11" s="21" t="s">
        <v>15</v>
      </c>
      <c r="B11" s="22">
        <v>38142</v>
      </c>
      <c r="C11" s="21" t="s">
        <v>23</v>
      </c>
      <c r="D11" s="21" t="s">
        <v>8</v>
      </c>
      <c r="E11" s="49" t="s">
        <v>1</v>
      </c>
      <c r="F11" s="50">
        <f>(75/40.3)*100</f>
        <v>186.1042183622829</v>
      </c>
      <c r="G11" s="50">
        <f>(41/40.78)*100</f>
        <v>100.53948013732222</v>
      </c>
      <c r="H11" s="18"/>
    </row>
    <row r="12" spans="1:8" s="1" customFormat="1" ht="17.25" customHeight="1">
      <c r="A12" s="16" t="s">
        <v>15</v>
      </c>
      <c r="B12" s="19">
        <v>38142</v>
      </c>
      <c r="C12" s="16" t="s">
        <v>23</v>
      </c>
      <c r="D12" s="16" t="s">
        <v>9</v>
      </c>
      <c r="E12" s="20" t="s">
        <v>1</v>
      </c>
      <c r="F12" s="46">
        <f>(54/35.07)*100</f>
        <v>153.97775876817792</v>
      </c>
      <c r="G12" s="46">
        <v>64</v>
      </c>
      <c r="H12" s="18"/>
    </row>
    <row r="13" spans="1:8" s="1" customFormat="1" ht="27.75" customHeight="1" thickBot="1">
      <c r="A13" s="24" t="s">
        <v>15</v>
      </c>
      <c r="B13" s="19">
        <v>38142</v>
      </c>
      <c r="C13" s="26" t="s">
        <v>44</v>
      </c>
      <c r="D13" s="26" t="s">
        <v>44</v>
      </c>
      <c r="E13" s="51" t="s">
        <v>1</v>
      </c>
      <c r="F13" s="52">
        <f>(112/38.99)*100</f>
        <v>287.2531418312388</v>
      </c>
      <c r="G13" s="52">
        <v>130</v>
      </c>
      <c r="H13" s="18"/>
    </row>
    <row r="14" spans="1:8" s="1" customFormat="1" ht="12.75">
      <c r="A14" s="53" t="s">
        <v>19</v>
      </c>
      <c r="B14" s="29" t="s">
        <v>32</v>
      </c>
      <c r="C14" s="30"/>
      <c r="D14" s="54" t="s">
        <v>39</v>
      </c>
      <c r="E14" s="55"/>
      <c r="F14" s="55">
        <f>((F13-F11)/F13)*100</f>
        <v>35.21246898263027</v>
      </c>
      <c r="G14" s="55">
        <f>((G13-G11)/G13)*100</f>
        <v>22.66193835590599</v>
      </c>
      <c r="H14" s="18"/>
    </row>
    <row r="15" spans="1:8" s="1" customFormat="1" ht="12.75">
      <c r="A15" s="34" t="s">
        <v>20</v>
      </c>
      <c r="B15" s="35" t="s">
        <v>33</v>
      </c>
      <c r="C15" s="16"/>
      <c r="D15" s="16"/>
      <c r="E15" s="18"/>
      <c r="F15" s="18"/>
      <c r="G15" s="18"/>
      <c r="H15" s="18"/>
    </row>
    <row r="16" spans="1:8" s="1" customFormat="1" ht="12.75">
      <c r="A16" s="34" t="s">
        <v>21</v>
      </c>
      <c r="B16" s="35" t="s">
        <v>34</v>
      </c>
      <c r="C16" s="16"/>
      <c r="D16" s="16"/>
      <c r="E16" s="18"/>
      <c r="F16" s="18"/>
      <c r="G16" s="18"/>
      <c r="H16" s="18"/>
    </row>
    <row r="17" spans="1:8" s="1" customFormat="1" ht="12.75">
      <c r="A17" s="36"/>
      <c r="B17" s="35" t="s">
        <v>40</v>
      </c>
      <c r="C17" s="16"/>
      <c r="D17" s="16"/>
      <c r="E17" s="18"/>
      <c r="F17" s="18"/>
      <c r="G17" s="18"/>
      <c r="H17" s="18"/>
    </row>
    <row r="18" spans="1:2" ht="12.75">
      <c r="A18" s="2"/>
      <c r="B18" s="10"/>
    </row>
  </sheetData>
  <printOptions/>
  <pageMargins left="0.41" right="0.37" top="0.49" bottom="0.26" header="0.28" footer="0.23"/>
  <pageSetup horizontalDpi="600" verticalDpi="600" orientation="landscape" r:id="rId1"/>
  <headerFooter alignWithMargins="0">
    <oddHeader>&amp;L&amp;Z&amp;F  --&amp;A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8" sqref="F8"/>
    </sheetView>
  </sheetViews>
  <sheetFormatPr defaultColWidth="9.140625" defaultRowHeight="12.75"/>
  <cols>
    <col min="1" max="1" width="9.140625" style="3" customWidth="1"/>
    <col min="2" max="2" width="17.57421875" style="3" bestFit="1" customWidth="1"/>
    <col min="3" max="3" width="27.28125" style="3" customWidth="1"/>
    <col min="4" max="4" width="33.421875" style="3" customWidth="1"/>
    <col min="5" max="5" width="12.00390625" style="3" customWidth="1"/>
    <col min="6" max="6" width="12.57421875" style="3" customWidth="1"/>
    <col min="7" max="7" width="11.421875" style="3" bestFit="1" customWidth="1"/>
    <col min="8" max="16384" width="9.140625" style="3" customWidth="1"/>
  </cols>
  <sheetData>
    <row r="1" spans="1:8" ht="26.25" thickBot="1">
      <c r="A1" s="37" t="s">
        <v>14</v>
      </c>
      <c r="B1" s="38" t="s">
        <v>10</v>
      </c>
      <c r="C1" s="37" t="s">
        <v>11</v>
      </c>
      <c r="D1" s="37" t="s">
        <v>12</v>
      </c>
      <c r="E1" s="11" t="s">
        <v>41</v>
      </c>
      <c r="F1" s="12" t="s">
        <v>42</v>
      </c>
      <c r="G1" s="12" t="s">
        <v>43</v>
      </c>
      <c r="H1" s="15"/>
    </row>
    <row r="2" spans="1:8" ht="13.5" thickBot="1">
      <c r="A2" s="30"/>
      <c r="B2" s="39"/>
      <c r="C2" s="30"/>
      <c r="D2" s="30"/>
      <c r="E2" s="40" t="s">
        <v>30</v>
      </c>
      <c r="F2" s="41" t="s">
        <v>31</v>
      </c>
      <c r="G2" s="41" t="s">
        <v>13</v>
      </c>
      <c r="H2" s="15"/>
    </row>
    <row r="3" spans="1:8" ht="12.75">
      <c r="A3" s="18" t="s">
        <v>16</v>
      </c>
      <c r="B3" s="19">
        <v>38147</v>
      </c>
      <c r="C3" s="16" t="s">
        <v>23</v>
      </c>
      <c r="D3" s="16" t="s">
        <v>0</v>
      </c>
      <c r="E3" s="33" t="s">
        <v>35</v>
      </c>
      <c r="F3" s="46">
        <f>(112/32.36)*100</f>
        <v>346.10630407911003</v>
      </c>
      <c r="G3" s="46">
        <f>(94/26.04)*100</f>
        <v>360.98310291858684</v>
      </c>
      <c r="H3" s="15"/>
    </row>
    <row r="4" spans="1:8" ht="12.75">
      <c r="A4" s="18" t="s">
        <v>16</v>
      </c>
      <c r="B4" s="19">
        <v>38147</v>
      </c>
      <c r="C4" s="16" t="s">
        <v>23</v>
      </c>
      <c r="D4" s="16" t="s">
        <v>2</v>
      </c>
      <c r="E4" s="20" t="s">
        <v>1</v>
      </c>
      <c r="F4" s="46">
        <f>(144/15.91)*100</f>
        <v>905.0911376492772</v>
      </c>
      <c r="G4" s="46">
        <f>(208/24.34)*100</f>
        <v>854.5603944124897</v>
      </c>
      <c r="H4" s="15"/>
    </row>
    <row r="5" spans="1:8" ht="12.75">
      <c r="A5" s="23" t="s">
        <v>16</v>
      </c>
      <c r="B5" s="22">
        <v>38147</v>
      </c>
      <c r="C5" s="21" t="s">
        <v>23</v>
      </c>
      <c r="D5" s="21" t="s">
        <v>3</v>
      </c>
      <c r="E5" s="49">
        <v>0.426784</v>
      </c>
      <c r="F5" s="50">
        <f>(184/37.62)*100</f>
        <v>489.1015417331207</v>
      </c>
      <c r="G5" s="50">
        <f>(136/21.61)*100</f>
        <v>629.3382693197594</v>
      </c>
      <c r="H5" s="15"/>
    </row>
    <row r="6" spans="1:8" ht="12.75">
      <c r="A6" s="18" t="s">
        <v>16</v>
      </c>
      <c r="B6" s="19">
        <v>38147</v>
      </c>
      <c r="C6" s="16" t="s">
        <v>23</v>
      </c>
      <c r="D6" s="16" t="s">
        <v>4</v>
      </c>
      <c r="E6" s="20" t="s">
        <v>1</v>
      </c>
      <c r="F6" s="46">
        <f>(300/22.08)*100</f>
        <v>1358.695652173913</v>
      </c>
      <c r="G6" s="46">
        <f>(300/21.9)*100</f>
        <v>1369.8630136986303</v>
      </c>
      <c r="H6" s="15"/>
    </row>
    <row r="7" spans="1:8" ht="12.75">
      <c r="A7" s="56" t="s">
        <v>16</v>
      </c>
      <c r="B7" s="47">
        <v>38147</v>
      </c>
      <c r="C7" s="42" t="s">
        <v>23</v>
      </c>
      <c r="D7" s="42" t="s">
        <v>5</v>
      </c>
      <c r="E7" s="48" t="s">
        <v>1</v>
      </c>
      <c r="F7" s="46">
        <f>(300/20.5)*100</f>
        <v>1463.4146341463415</v>
      </c>
      <c r="G7" s="46">
        <f>(300/19.76)*100</f>
        <v>1518.2186234817814</v>
      </c>
      <c r="H7" s="15"/>
    </row>
    <row r="8" spans="1:8" ht="12.75">
      <c r="A8" s="18" t="s">
        <v>16</v>
      </c>
      <c r="B8" s="19">
        <v>38147</v>
      </c>
      <c r="C8" s="16" t="s">
        <v>23</v>
      </c>
      <c r="D8" s="16" t="s">
        <v>6</v>
      </c>
      <c r="E8" s="20">
        <v>1.741218</v>
      </c>
      <c r="F8" s="46">
        <f>(19/25.7)*100</f>
        <v>73.92996108949417</v>
      </c>
      <c r="G8" s="46">
        <f>(42/48.22)*100</f>
        <v>87.10078805474907</v>
      </c>
      <c r="H8" s="15"/>
    </row>
    <row r="9" spans="1:8" ht="12.75">
      <c r="A9" s="18" t="s">
        <v>16</v>
      </c>
      <c r="B9" s="19">
        <v>38147</v>
      </c>
      <c r="C9" s="16" t="s">
        <v>23</v>
      </c>
      <c r="D9" s="16" t="s">
        <v>7</v>
      </c>
      <c r="E9" s="20" t="s">
        <v>1</v>
      </c>
      <c r="F9" s="46">
        <f>(350/45.74)*100</f>
        <v>765.1945780498469</v>
      </c>
      <c r="G9" s="46">
        <f>(300/48.15)*100</f>
        <v>623.0529595015577</v>
      </c>
      <c r="H9" s="15"/>
    </row>
    <row r="10" spans="1:8" ht="15" customHeight="1">
      <c r="A10" s="18" t="s">
        <v>16</v>
      </c>
      <c r="B10" s="19">
        <v>38147</v>
      </c>
      <c r="C10" s="16" t="s">
        <v>23</v>
      </c>
      <c r="D10" s="16" t="s">
        <v>28</v>
      </c>
      <c r="E10" s="20" t="s">
        <v>1</v>
      </c>
      <c r="F10" s="46">
        <f>(300/39.42)*100</f>
        <v>761.03500761035</v>
      </c>
      <c r="G10" s="46">
        <f>(200/43.08)*100</f>
        <v>464.25255338904367</v>
      </c>
      <c r="H10" s="15"/>
    </row>
    <row r="11" spans="1:8" ht="14.25" customHeight="1">
      <c r="A11" s="18" t="s">
        <v>16</v>
      </c>
      <c r="B11" s="19">
        <v>38147</v>
      </c>
      <c r="C11" s="16" t="s">
        <v>23</v>
      </c>
      <c r="D11" s="16" t="s">
        <v>8</v>
      </c>
      <c r="E11" s="20" t="s">
        <v>1</v>
      </c>
      <c r="F11" s="46">
        <f>(300/38.01)*100</f>
        <v>789.2659826361485</v>
      </c>
      <c r="G11" s="46">
        <f>(128/18.8)*100</f>
        <v>680.8510638297872</v>
      </c>
      <c r="H11" s="15"/>
    </row>
    <row r="12" spans="1:8" ht="12.75">
      <c r="A12" s="18" t="s">
        <v>16</v>
      </c>
      <c r="B12" s="19">
        <v>38147</v>
      </c>
      <c r="C12" s="16" t="s">
        <v>23</v>
      </c>
      <c r="D12" s="16" t="s">
        <v>9</v>
      </c>
      <c r="E12" s="20" t="s">
        <v>1</v>
      </c>
      <c r="F12" s="46">
        <f>(300/21.96)*100</f>
        <v>1366.120218579235</v>
      </c>
      <c r="G12" s="46">
        <f>(300/26.78)*100</f>
        <v>1120.238984316654</v>
      </c>
      <c r="H12" s="15"/>
    </row>
    <row r="13" spans="1:8" ht="16.5" customHeight="1" thickBot="1">
      <c r="A13" s="27" t="s">
        <v>16</v>
      </c>
      <c r="B13" s="19">
        <v>38147</v>
      </c>
      <c r="C13" s="26" t="s">
        <v>45</v>
      </c>
      <c r="D13" s="26" t="s">
        <v>3</v>
      </c>
      <c r="E13" s="51" t="s">
        <v>1</v>
      </c>
      <c r="F13" s="52">
        <f>(80/20.26)*100</f>
        <v>394.86673247778873</v>
      </c>
      <c r="G13" s="52">
        <f>(172/26.67)*100</f>
        <v>644.9193850768654</v>
      </c>
      <c r="H13" s="15"/>
    </row>
    <row r="14" spans="1:8" ht="12.75">
      <c r="A14" s="53" t="s">
        <v>19</v>
      </c>
      <c r="B14" s="57" t="s">
        <v>32</v>
      </c>
      <c r="C14" s="30"/>
      <c r="D14" s="54" t="s">
        <v>39</v>
      </c>
      <c r="E14" s="55"/>
      <c r="F14" s="55">
        <f>((F5-F13)/F5)*100</f>
        <v>19.26692132709559</v>
      </c>
      <c r="G14" s="55">
        <f>((G13-G5)/G13)*100</f>
        <v>2.415978821174514</v>
      </c>
      <c r="H14" s="15"/>
    </row>
    <row r="15" spans="1:8" ht="12.75">
      <c r="A15" s="34" t="s">
        <v>20</v>
      </c>
      <c r="B15" s="35" t="s">
        <v>33</v>
      </c>
      <c r="C15" s="16"/>
      <c r="D15" s="16"/>
      <c r="E15" s="18"/>
      <c r="F15" s="18"/>
      <c r="G15" s="18"/>
      <c r="H15" s="15"/>
    </row>
    <row r="16" spans="1:8" ht="12.75">
      <c r="A16" s="34" t="s">
        <v>21</v>
      </c>
      <c r="B16" s="35" t="s">
        <v>34</v>
      </c>
      <c r="C16" s="16"/>
      <c r="D16" s="16"/>
      <c r="E16" s="18"/>
      <c r="F16" s="18"/>
      <c r="G16" s="18"/>
      <c r="H16" s="15"/>
    </row>
    <row r="17" spans="1:8" ht="12.75">
      <c r="A17" s="36"/>
      <c r="B17" s="35" t="s">
        <v>40</v>
      </c>
      <c r="C17" s="16"/>
      <c r="D17" s="16"/>
      <c r="E17" s="18"/>
      <c r="F17" s="18"/>
      <c r="G17" s="18"/>
      <c r="H17" s="15"/>
    </row>
    <row r="18" ht="12.75">
      <c r="A18" s="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7" sqref="C37"/>
    </sheetView>
  </sheetViews>
  <sheetFormatPr defaultColWidth="9.140625" defaultRowHeight="12.75"/>
  <cols>
    <col min="1" max="2" width="9.140625" style="3" customWidth="1"/>
    <col min="3" max="3" width="27.7109375" style="3" customWidth="1"/>
    <col min="4" max="4" width="38.00390625" style="3" customWidth="1"/>
    <col min="5" max="6" width="11.7109375" style="3" customWidth="1"/>
    <col min="7" max="7" width="12.7109375" style="3" customWidth="1"/>
    <col min="8" max="16384" width="9.140625" style="3" customWidth="1"/>
  </cols>
  <sheetData>
    <row r="1" spans="1:8" ht="26.25" thickBot="1">
      <c r="A1" s="37" t="s">
        <v>14</v>
      </c>
      <c r="B1" s="38" t="s">
        <v>10</v>
      </c>
      <c r="C1" s="37" t="s">
        <v>11</v>
      </c>
      <c r="D1" s="37" t="s">
        <v>12</v>
      </c>
      <c r="E1" s="11" t="s">
        <v>41</v>
      </c>
      <c r="F1" s="12" t="s">
        <v>42</v>
      </c>
      <c r="G1" s="12" t="s">
        <v>43</v>
      </c>
      <c r="H1" s="15"/>
    </row>
    <row r="2" spans="1:8" ht="13.5" thickBot="1">
      <c r="A2" s="30"/>
      <c r="B2" s="39"/>
      <c r="C2" s="30"/>
      <c r="D2" s="30"/>
      <c r="E2" s="40" t="s">
        <v>30</v>
      </c>
      <c r="F2" s="41" t="s">
        <v>31</v>
      </c>
      <c r="G2" s="41" t="s">
        <v>13</v>
      </c>
      <c r="H2" s="15"/>
    </row>
    <row r="3" spans="1:7" ht="12.75">
      <c r="A3" s="18" t="s">
        <v>17</v>
      </c>
      <c r="B3" s="19">
        <v>38153</v>
      </c>
      <c r="C3" s="16" t="s">
        <v>23</v>
      </c>
      <c r="D3" s="16" t="s">
        <v>0</v>
      </c>
      <c r="E3" s="18" t="s">
        <v>35</v>
      </c>
      <c r="F3" s="46">
        <v>107</v>
      </c>
      <c r="G3" s="46">
        <f>(44/35.5)*100</f>
        <v>123.94366197183098</v>
      </c>
    </row>
    <row r="4" spans="1:7" ht="12.75">
      <c r="A4" s="23" t="s">
        <v>17</v>
      </c>
      <c r="B4" s="19">
        <v>38153</v>
      </c>
      <c r="C4" s="21" t="s">
        <v>23</v>
      </c>
      <c r="D4" s="21" t="s">
        <v>2</v>
      </c>
      <c r="E4" s="23" t="s">
        <v>1</v>
      </c>
      <c r="F4" s="50">
        <v>167</v>
      </c>
      <c r="G4" s="50">
        <f>(18/10.77)*100</f>
        <v>167.13091922005572</v>
      </c>
    </row>
    <row r="5" spans="1:7" ht="12.75">
      <c r="A5" s="18" t="s">
        <v>17</v>
      </c>
      <c r="B5" s="19">
        <v>38153</v>
      </c>
      <c r="C5" s="16" t="s">
        <v>23</v>
      </c>
      <c r="D5" s="16" t="s">
        <v>3</v>
      </c>
      <c r="E5" s="20">
        <v>0.3472</v>
      </c>
      <c r="F5" s="46">
        <f>(56/9.95)*100</f>
        <v>562.8140703517588</v>
      </c>
      <c r="G5" s="46">
        <f>(22/13.29)*100</f>
        <v>165.5379984951091</v>
      </c>
    </row>
    <row r="6" spans="1:7" ht="12.75">
      <c r="A6" s="18" t="s">
        <v>17</v>
      </c>
      <c r="B6" s="19">
        <v>38153</v>
      </c>
      <c r="C6" s="16" t="s">
        <v>23</v>
      </c>
      <c r="D6" s="16" t="s">
        <v>4</v>
      </c>
      <c r="E6" s="18" t="s">
        <v>1</v>
      </c>
      <c r="F6" s="46">
        <f>(24/5.9)*100</f>
        <v>406.77966101694915</v>
      </c>
      <c r="G6" s="46">
        <f>(52/13.17)*100</f>
        <v>394.83675018982535</v>
      </c>
    </row>
    <row r="7" spans="1:7" ht="12.75">
      <c r="A7" s="18" t="s">
        <v>17</v>
      </c>
      <c r="B7" s="19">
        <v>38153</v>
      </c>
      <c r="C7" s="16" t="s">
        <v>23</v>
      </c>
      <c r="D7" s="16" t="s">
        <v>5</v>
      </c>
      <c r="E7" s="18" t="s">
        <v>1</v>
      </c>
      <c r="F7" s="46">
        <f>(39/6.59)*100</f>
        <v>591.8057663125949</v>
      </c>
      <c r="G7" s="46">
        <f>(39/4.97)*100</f>
        <v>784.7082494969819</v>
      </c>
    </row>
    <row r="8" spans="1:7" ht="12.75">
      <c r="A8" s="18" t="s">
        <v>17</v>
      </c>
      <c r="B8" s="19">
        <v>38153</v>
      </c>
      <c r="C8" s="16" t="s">
        <v>23</v>
      </c>
      <c r="D8" s="16" t="s">
        <v>6</v>
      </c>
      <c r="E8" s="20">
        <v>1.9184</v>
      </c>
      <c r="F8" s="46">
        <f>(26/12.46)*100</f>
        <v>208.6677367576244</v>
      </c>
      <c r="G8" s="46">
        <v>164</v>
      </c>
    </row>
    <row r="9" spans="1:7" ht="12.75">
      <c r="A9" s="18" t="s">
        <v>17</v>
      </c>
      <c r="B9" s="19">
        <v>38153</v>
      </c>
      <c r="C9" s="16" t="s">
        <v>23</v>
      </c>
      <c r="D9" s="16" t="s">
        <v>7</v>
      </c>
      <c r="E9" s="18" t="s">
        <v>1</v>
      </c>
      <c r="F9" s="46">
        <f>(63/9.43)*100</f>
        <v>668.0805938494168</v>
      </c>
      <c r="G9" s="46">
        <f>(85/10.76)*100</f>
        <v>789.9628252788104</v>
      </c>
    </row>
    <row r="10" spans="1:7" ht="17.25" customHeight="1">
      <c r="A10" s="18" t="s">
        <v>17</v>
      </c>
      <c r="B10" s="19">
        <v>38153</v>
      </c>
      <c r="C10" s="16" t="s">
        <v>23</v>
      </c>
      <c r="D10" s="16" t="s">
        <v>28</v>
      </c>
      <c r="E10" s="18" t="s">
        <v>1</v>
      </c>
      <c r="F10" s="46">
        <f>(30/3.73)*100</f>
        <v>804.289544235925</v>
      </c>
      <c r="G10" s="46">
        <f>(41/10.7)*100</f>
        <v>383.177570093458</v>
      </c>
    </row>
    <row r="11" spans="1:7" ht="16.5" customHeight="1">
      <c r="A11" s="18" t="s">
        <v>17</v>
      </c>
      <c r="B11" s="19">
        <v>38153</v>
      </c>
      <c r="C11" s="16" t="s">
        <v>23</v>
      </c>
      <c r="D11" s="16" t="s">
        <v>8</v>
      </c>
      <c r="E11" s="18" t="s">
        <v>1</v>
      </c>
      <c r="F11" s="46">
        <v>503</v>
      </c>
      <c r="G11" s="46">
        <f>(58/10.4)*100</f>
        <v>557.6923076923076</v>
      </c>
    </row>
    <row r="12" spans="1:7" ht="16.5" customHeight="1">
      <c r="A12" s="18" t="s">
        <v>17</v>
      </c>
      <c r="B12" s="19">
        <v>38153</v>
      </c>
      <c r="C12" s="42" t="s">
        <v>23</v>
      </c>
      <c r="D12" s="42" t="s">
        <v>9</v>
      </c>
      <c r="E12" s="18" t="s">
        <v>1</v>
      </c>
      <c r="F12" s="46">
        <f>(78/5.11)*100</f>
        <v>1526.4187866927593</v>
      </c>
      <c r="G12" s="46">
        <f>(129/8.16)*100</f>
        <v>1580.8823529411764</v>
      </c>
    </row>
    <row r="13" spans="1:7" ht="16.5" customHeight="1" thickBot="1">
      <c r="A13" s="27" t="s">
        <v>17</v>
      </c>
      <c r="B13" s="25">
        <v>38153</v>
      </c>
      <c r="C13" s="26" t="s">
        <v>25</v>
      </c>
      <c r="D13" s="26" t="s">
        <v>2</v>
      </c>
      <c r="E13" s="27" t="s">
        <v>1</v>
      </c>
      <c r="F13" s="52">
        <v>133</v>
      </c>
      <c r="G13" s="52">
        <f>(16/9.44)*100</f>
        <v>169.49152542372883</v>
      </c>
    </row>
    <row r="14" spans="1:7" ht="12.75">
      <c r="A14" s="32" t="s">
        <v>19</v>
      </c>
      <c r="B14" s="29" t="s">
        <v>32</v>
      </c>
      <c r="C14" s="30"/>
      <c r="D14" s="31" t="s">
        <v>39</v>
      </c>
      <c r="E14" s="32"/>
      <c r="F14" s="33">
        <f>((F4-F13)/F4)*100</f>
        <v>20.35928143712575</v>
      </c>
      <c r="G14" s="33">
        <f>((G13-G4)/G13)*100</f>
        <v>1.3927576601671374</v>
      </c>
    </row>
    <row r="15" spans="1:9" ht="12.75">
      <c r="A15" s="18" t="s">
        <v>20</v>
      </c>
      <c r="B15" s="35" t="s">
        <v>33</v>
      </c>
      <c r="C15" s="16"/>
      <c r="D15" s="16"/>
      <c r="E15" s="16"/>
      <c r="F15" s="16"/>
      <c r="G15" s="18"/>
      <c r="H15" s="18"/>
      <c r="I15" s="18"/>
    </row>
    <row r="16" spans="1:9" ht="12.75">
      <c r="A16" s="18" t="s">
        <v>21</v>
      </c>
      <c r="B16" s="35" t="s">
        <v>34</v>
      </c>
      <c r="C16" s="16"/>
      <c r="D16" s="16"/>
      <c r="E16" s="16"/>
      <c r="F16" s="16"/>
      <c r="G16" s="18"/>
      <c r="H16" s="18"/>
      <c r="I16" s="18"/>
    </row>
    <row r="17" spans="1:8" ht="12.75">
      <c r="A17" s="36"/>
      <c r="B17" s="35" t="s">
        <v>40</v>
      </c>
      <c r="C17" s="16"/>
      <c r="D17" s="16"/>
      <c r="E17" s="18"/>
      <c r="F17" s="18"/>
      <c r="G17" s="18"/>
      <c r="H17" s="15"/>
    </row>
    <row r="18" ht="12.75">
      <c r="A18" s="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C1">
      <selection activeCell="D52" sqref="D52"/>
    </sheetView>
  </sheetViews>
  <sheetFormatPr defaultColWidth="9.140625" defaultRowHeight="12.75"/>
  <cols>
    <col min="1" max="2" width="9.140625" style="3" customWidth="1"/>
    <col min="3" max="3" width="27.57421875" style="3" customWidth="1"/>
    <col min="4" max="4" width="39.421875" style="3" customWidth="1"/>
    <col min="5" max="5" width="11.8515625" style="3" customWidth="1"/>
    <col min="6" max="6" width="13.421875" style="3" customWidth="1"/>
    <col min="7" max="7" width="13.00390625" style="3" customWidth="1"/>
    <col min="8" max="8" width="11.7109375" style="3" customWidth="1"/>
    <col min="9" max="9" width="12.140625" style="3" customWidth="1"/>
    <col min="10" max="16384" width="9.140625" style="3" customWidth="1"/>
  </cols>
  <sheetData>
    <row r="1" spans="1:8" ht="26.25" thickBot="1">
      <c r="A1" s="37" t="s">
        <v>14</v>
      </c>
      <c r="B1" s="38" t="s">
        <v>10</v>
      </c>
      <c r="C1" s="37" t="s">
        <v>11</v>
      </c>
      <c r="D1" s="37" t="s">
        <v>12</v>
      </c>
      <c r="E1" s="11" t="s">
        <v>41</v>
      </c>
      <c r="F1" s="12" t="s">
        <v>42</v>
      </c>
      <c r="G1" s="12" t="s">
        <v>43</v>
      </c>
      <c r="H1" s="15"/>
    </row>
    <row r="2" spans="1:8" ht="13.5" thickBot="1">
      <c r="A2" s="30"/>
      <c r="B2" s="39"/>
      <c r="C2" s="30"/>
      <c r="D2" s="30"/>
      <c r="E2" s="40" t="s">
        <v>30</v>
      </c>
      <c r="F2" s="41" t="s">
        <v>31</v>
      </c>
      <c r="G2" s="41" t="s">
        <v>13</v>
      </c>
      <c r="H2" s="15"/>
    </row>
    <row r="3" spans="1:8" ht="12.75">
      <c r="A3" s="18" t="s">
        <v>18</v>
      </c>
      <c r="B3" s="19">
        <v>38161</v>
      </c>
      <c r="C3" s="16" t="s">
        <v>23</v>
      </c>
      <c r="D3" s="16" t="s">
        <v>0</v>
      </c>
      <c r="E3" s="32" t="s">
        <v>35</v>
      </c>
      <c r="F3" s="46">
        <v>74</v>
      </c>
      <c r="G3" s="46">
        <v>77</v>
      </c>
      <c r="H3" s="15"/>
    </row>
    <row r="4" spans="1:8" ht="12.75">
      <c r="A4" s="18" t="s">
        <v>18</v>
      </c>
      <c r="B4" s="19">
        <v>38161</v>
      </c>
      <c r="C4" s="16" t="s">
        <v>23</v>
      </c>
      <c r="D4" s="16" t="s">
        <v>2</v>
      </c>
      <c r="E4" s="18" t="s">
        <v>1</v>
      </c>
      <c r="F4" s="46">
        <v>148</v>
      </c>
      <c r="G4" s="46">
        <v>97</v>
      </c>
      <c r="H4" s="15"/>
    </row>
    <row r="5" spans="1:8" ht="12.75">
      <c r="A5" s="23" t="s">
        <v>18</v>
      </c>
      <c r="B5" s="22">
        <v>38161</v>
      </c>
      <c r="C5" s="21" t="s">
        <v>23</v>
      </c>
      <c r="D5" s="21" t="s">
        <v>3</v>
      </c>
      <c r="E5" s="49">
        <v>0.313208</v>
      </c>
      <c r="F5" s="50">
        <v>560</v>
      </c>
      <c r="G5" s="50">
        <v>515</v>
      </c>
      <c r="H5" s="15"/>
    </row>
    <row r="6" spans="1:8" ht="12.75">
      <c r="A6" s="18" t="s">
        <v>18</v>
      </c>
      <c r="B6" s="19">
        <v>38161</v>
      </c>
      <c r="C6" s="16" t="s">
        <v>23</v>
      </c>
      <c r="D6" s="16" t="s">
        <v>4</v>
      </c>
      <c r="E6" s="18" t="s">
        <v>1</v>
      </c>
      <c r="F6" s="46">
        <v>89</v>
      </c>
      <c r="G6" s="46">
        <v>91</v>
      </c>
      <c r="H6" s="15"/>
    </row>
    <row r="7" spans="1:8" ht="12.75">
      <c r="A7" s="56" t="s">
        <v>18</v>
      </c>
      <c r="B7" s="47">
        <v>38161</v>
      </c>
      <c r="C7" s="42" t="s">
        <v>23</v>
      </c>
      <c r="D7" s="42" t="s">
        <v>5</v>
      </c>
      <c r="E7" s="56" t="s">
        <v>1</v>
      </c>
      <c r="F7" s="46">
        <v>371</v>
      </c>
      <c r="G7" s="46">
        <v>300</v>
      </c>
      <c r="H7" s="15"/>
    </row>
    <row r="8" spans="1:8" ht="12.75">
      <c r="A8" s="18" t="s">
        <v>18</v>
      </c>
      <c r="B8" s="19">
        <v>38161</v>
      </c>
      <c r="C8" s="16" t="s">
        <v>23</v>
      </c>
      <c r="D8" s="16" t="s">
        <v>6</v>
      </c>
      <c r="E8" s="20">
        <v>0.997681</v>
      </c>
      <c r="F8" s="46">
        <v>76</v>
      </c>
      <c r="G8" s="46">
        <v>43</v>
      </c>
      <c r="H8" s="15"/>
    </row>
    <row r="9" spans="1:8" ht="12.75">
      <c r="A9" s="18" t="s">
        <v>18</v>
      </c>
      <c r="B9" s="19">
        <v>38161</v>
      </c>
      <c r="C9" s="16" t="s">
        <v>23</v>
      </c>
      <c r="D9" s="16" t="s">
        <v>7</v>
      </c>
      <c r="E9" s="18" t="s">
        <v>1</v>
      </c>
      <c r="F9" s="46">
        <v>106</v>
      </c>
      <c r="G9" s="46">
        <v>71</v>
      </c>
      <c r="H9" s="15"/>
    </row>
    <row r="10" spans="1:8" ht="12.75">
      <c r="A10" s="18" t="s">
        <v>18</v>
      </c>
      <c r="B10" s="19">
        <v>38161</v>
      </c>
      <c r="C10" s="16" t="s">
        <v>23</v>
      </c>
      <c r="D10" s="16" t="s">
        <v>28</v>
      </c>
      <c r="E10" s="18" t="s">
        <v>1</v>
      </c>
      <c r="F10" s="46">
        <v>295</v>
      </c>
      <c r="G10" s="46">
        <v>204</v>
      </c>
      <c r="H10" s="15"/>
    </row>
    <row r="11" spans="1:8" ht="12.75">
      <c r="A11" s="18" t="s">
        <v>18</v>
      </c>
      <c r="B11" s="19">
        <v>38161</v>
      </c>
      <c r="C11" s="16" t="s">
        <v>23</v>
      </c>
      <c r="D11" s="16" t="s">
        <v>8</v>
      </c>
      <c r="E11" s="18" t="s">
        <v>1</v>
      </c>
      <c r="F11" s="46">
        <v>136</v>
      </c>
      <c r="G11" s="46">
        <v>134</v>
      </c>
      <c r="H11" s="15"/>
    </row>
    <row r="12" spans="1:8" ht="12.75">
      <c r="A12" s="18" t="s">
        <v>18</v>
      </c>
      <c r="B12" s="19">
        <v>38161</v>
      </c>
      <c r="C12" s="16" t="s">
        <v>23</v>
      </c>
      <c r="D12" s="16" t="s">
        <v>9</v>
      </c>
      <c r="E12" s="18" t="s">
        <v>1</v>
      </c>
      <c r="F12" s="46">
        <f>((296*2)/8.34)*100</f>
        <v>7098.321342925659</v>
      </c>
      <c r="G12" s="46">
        <f>(154/3.58)*100</f>
        <v>4301.675977653631</v>
      </c>
      <c r="H12" s="15"/>
    </row>
    <row r="13" spans="1:8" ht="26.25" thickBot="1">
      <c r="A13" s="27" t="s">
        <v>18</v>
      </c>
      <c r="B13" s="25">
        <v>38161</v>
      </c>
      <c r="C13" s="26" t="s">
        <v>45</v>
      </c>
      <c r="D13" s="26" t="s">
        <v>3</v>
      </c>
      <c r="E13" s="45" t="s">
        <v>1</v>
      </c>
      <c r="F13" s="52">
        <f>(72/8.54)*100</f>
        <v>843.0913348946136</v>
      </c>
      <c r="G13" s="52">
        <f>(66/13.43)*100</f>
        <v>491.4370811615786</v>
      </c>
      <c r="H13" s="15"/>
    </row>
    <row r="14" spans="1:8" ht="12.75">
      <c r="A14" s="28" t="s">
        <v>19</v>
      </c>
      <c r="B14" s="43" t="s">
        <v>32</v>
      </c>
      <c r="C14" s="30"/>
      <c r="D14" s="58" t="s">
        <v>39</v>
      </c>
      <c r="E14" s="32"/>
      <c r="F14" s="33">
        <f>((F13-F5)/F13)*100</f>
        <v>33.577777777777776</v>
      </c>
      <c r="G14" s="33">
        <f>((G5-G13)/G5)*100</f>
        <v>4.575324046295419</v>
      </c>
      <c r="H14" s="15"/>
    </row>
    <row r="15" spans="1:8" ht="12.75">
      <c r="A15" s="34" t="s">
        <v>20</v>
      </c>
      <c r="B15" s="44" t="s">
        <v>33</v>
      </c>
      <c r="C15" s="16"/>
      <c r="D15" s="16"/>
      <c r="E15" s="18"/>
      <c r="F15" s="18"/>
      <c r="G15" s="18"/>
      <c r="H15" s="15"/>
    </row>
    <row r="16" spans="1:8" ht="12.75">
      <c r="A16" s="34" t="s">
        <v>21</v>
      </c>
      <c r="B16" s="44" t="s">
        <v>34</v>
      </c>
      <c r="C16" s="16"/>
      <c r="D16" s="16"/>
      <c r="E16" s="18"/>
      <c r="F16" s="18"/>
      <c r="G16" s="18"/>
      <c r="H16" s="15"/>
    </row>
    <row r="17" spans="1:8" ht="12.75">
      <c r="A17" s="34" t="s">
        <v>22</v>
      </c>
      <c r="B17" s="43" t="s">
        <v>36</v>
      </c>
      <c r="C17" s="15"/>
      <c r="D17" s="16"/>
      <c r="E17" s="18"/>
      <c r="F17" s="18"/>
      <c r="G17" s="18"/>
      <c r="H17" s="15"/>
    </row>
    <row r="18" spans="1:8" ht="12.75">
      <c r="A18" s="36"/>
      <c r="B18" s="35" t="s">
        <v>40</v>
      </c>
      <c r="C18" s="15"/>
      <c r="D18" s="15"/>
      <c r="E18" s="15"/>
      <c r="F18" s="15"/>
      <c r="G18" s="15"/>
      <c r="H18" s="15"/>
    </row>
    <row r="19" spans="5:8" ht="12.75">
      <c r="E19" s="15"/>
      <c r="F19" s="15"/>
      <c r="G19" s="15"/>
      <c r="H19" s="15"/>
    </row>
    <row r="20" spans="5:9" ht="12.75">
      <c r="E20" s="79"/>
      <c r="F20" s="79"/>
      <c r="G20" s="79"/>
      <c r="H20" s="79"/>
      <c r="I20" s="79"/>
    </row>
    <row r="21" spans="4:9" ht="13.5" thickBot="1">
      <c r="D21" s="82" t="s">
        <v>42</v>
      </c>
      <c r="E21" s="80">
        <v>38142</v>
      </c>
      <c r="F21" s="80">
        <v>38147</v>
      </c>
      <c r="G21" s="80">
        <v>38153</v>
      </c>
      <c r="H21" s="80">
        <v>38161</v>
      </c>
      <c r="I21" s="81" t="s">
        <v>63</v>
      </c>
    </row>
    <row r="22" spans="4:9" ht="13.5" thickBot="1">
      <c r="D22" s="82" t="s">
        <v>62</v>
      </c>
      <c r="E22" s="41" t="s">
        <v>13</v>
      </c>
      <c r="F22" s="41" t="s">
        <v>13</v>
      </c>
      <c r="G22" s="41" t="s">
        <v>13</v>
      </c>
      <c r="H22" s="41" t="s">
        <v>13</v>
      </c>
      <c r="I22" s="41" t="s">
        <v>13</v>
      </c>
    </row>
    <row r="23" spans="4:9" ht="12.75">
      <c r="D23" s="42" t="s">
        <v>0</v>
      </c>
      <c r="E23" s="83">
        <f>(73/70.06)*100</f>
        <v>104.19640308307166</v>
      </c>
      <c r="F23" s="83">
        <f>(112/32.36)*100</f>
        <v>346.10630407911003</v>
      </c>
      <c r="G23" s="83">
        <v>107</v>
      </c>
      <c r="H23" s="83">
        <v>74</v>
      </c>
      <c r="I23" s="84">
        <f>AVERAGE(E23:H23)</f>
        <v>157.82567679054543</v>
      </c>
    </row>
    <row r="24" spans="4:9" ht="12.75">
      <c r="D24" s="42" t="s">
        <v>2</v>
      </c>
      <c r="E24" s="83">
        <f>(51/48.09)*100</f>
        <v>106.05115408608859</v>
      </c>
      <c r="F24" s="83">
        <f>(144/15.91)*100</f>
        <v>905.0911376492772</v>
      </c>
      <c r="G24" s="83">
        <v>167</v>
      </c>
      <c r="H24" s="83">
        <v>148</v>
      </c>
      <c r="I24" s="84">
        <f aca="true" t="shared" si="0" ref="I24:I32">AVERAGE(E24:H24)</f>
        <v>331.5355729338414</v>
      </c>
    </row>
    <row r="25" spans="4:9" ht="12.75">
      <c r="D25" s="42" t="s">
        <v>3</v>
      </c>
      <c r="E25" s="83">
        <f>(135/46.1)*100</f>
        <v>292.8416485900217</v>
      </c>
      <c r="F25" s="83">
        <f>(184/37.62)*100</f>
        <v>489.1015417331207</v>
      </c>
      <c r="G25" s="83">
        <f>(56/9.95)*100</f>
        <v>562.8140703517588</v>
      </c>
      <c r="H25" s="83">
        <v>560</v>
      </c>
      <c r="I25" s="84">
        <f t="shared" si="0"/>
        <v>476.18931516872533</v>
      </c>
    </row>
    <row r="26" spans="4:9" ht="12.75">
      <c r="D26" s="42" t="s">
        <v>4</v>
      </c>
      <c r="E26" s="83">
        <f>(37/49.26)*100</f>
        <v>75.11165245635404</v>
      </c>
      <c r="F26" s="83">
        <f>(300/22.08)*100</f>
        <v>1358.695652173913</v>
      </c>
      <c r="G26" s="83">
        <f>(24/5.9)*100</f>
        <v>406.77966101694915</v>
      </c>
      <c r="H26" s="83">
        <v>89</v>
      </c>
      <c r="I26" s="84">
        <f t="shared" si="0"/>
        <v>482.39674141180404</v>
      </c>
    </row>
    <row r="27" spans="4:9" ht="12.75">
      <c r="D27" s="42" t="s">
        <v>5</v>
      </c>
      <c r="E27" s="83">
        <f>(174/47.83)*100</f>
        <v>363.78841731131087</v>
      </c>
      <c r="F27" s="83">
        <f>(300/20.5)*100</f>
        <v>1463.4146341463415</v>
      </c>
      <c r="G27" s="83">
        <f>(39/6.59)*100</f>
        <v>591.8057663125949</v>
      </c>
      <c r="H27" s="83">
        <v>371</v>
      </c>
      <c r="I27" s="84">
        <f t="shared" si="0"/>
        <v>697.5022044425618</v>
      </c>
    </row>
    <row r="28" spans="4:9" ht="12.75">
      <c r="D28" s="42" t="s">
        <v>6</v>
      </c>
      <c r="E28" s="83">
        <f>(59/61.17)*100</f>
        <v>96.4525094000327</v>
      </c>
      <c r="F28" s="83">
        <f>(19/25.7)*100</f>
        <v>73.92996108949417</v>
      </c>
      <c r="G28" s="83">
        <f>(26/12.46)*100</f>
        <v>208.6677367576244</v>
      </c>
      <c r="H28" s="83">
        <v>76</v>
      </c>
      <c r="I28" s="84">
        <f t="shared" si="0"/>
        <v>113.76255181178782</v>
      </c>
    </row>
    <row r="29" spans="4:9" ht="12.75">
      <c r="D29" s="42" t="s">
        <v>7</v>
      </c>
      <c r="E29" s="83">
        <f>(89/53.51)*100</f>
        <v>166.32405157914408</v>
      </c>
      <c r="F29" s="83">
        <f>(350/45.74)*100</f>
        <v>765.1945780498469</v>
      </c>
      <c r="G29" s="83">
        <f>(63/9.43)*100</f>
        <v>668.0805938494168</v>
      </c>
      <c r="H29" s="83">
        <v>106</v>
      </c>
      <c r="I29" s="84">
        <f t="shared" si="0"/>
        <v>426.39980586960195</v>
      </c>
    </row>
    <row r="30" spans="4:9" ht="12.75">
      <c r="D30" s="42" t="s">
        <v>28</v>
      </c>
      <c r="E30" s="83">
        <f>(154/47.03)*100</f>
        <v>327.4505634701254</v>
      </c>
      <c r="F30" s="83">
        <f>(300/39.42)*100</f>
        <v>761.03500761035</v>
      </c>
      <c r="G30" s="83">
        <f>(30/3.73)*100</f>
        <v>804.289544235925</v>
      </c>
      <c r="H30" s="83">
        <v>295</v>
      </c>
      <c r="I30" s="84">
        <f t="shared" si="0"/>
        <v>546.9437788291001</v>
      </c>
    </row>
    <row r="31" spans="4:9" ht="12.75">
      <c r="D31" s="42" t="s">
        <v>8</v>
      </c>
      <c r="E31" s="83">
        <f>(75/40.3)*100</f>
        <v>186.1042183622829</v>
      </c>
      <c r="F31" s="83">
        <f>(300/38.01)*100</f>
        <v>789.2659826361485</v>
      </c>
      <c r="G31" s="83">
        <v>503</v>
      </c>
      <c r="H31" s="83">
        <v>136</v>
      </c>
      <c r="I31" s="84">
        <f t="shared" si="0"/>
        <v>403.5925502496078</v>
      </c>
    </row>
    <row r="32" spans="4:9" ht="12.75">
      <c r="D32" s="42" t="s">
        <v>9</v>
      </c>
      <c r="E32" s="83">
        <f>(54/35.07)*100</f>
        <v>153.97775876817792</v>
      </c>
      <c r="F32" s="83">
        <f>(300/21.96)*100</f>
        <v>1366.120218579235</v>
      </c>
      <c r="G32" s="83">
        <f>(78/5.11)*100</f>
        <v>1526.4187866927593</v>
      </c>
      <c r="H32" s="83">
        <f>((296*2)/8.34)*100</f>
        <v>7098.321342925659</v>
      </c>
      <c r="I32" s="84">
        <f t="shared" si="0"/>
        <v>2536.209526741458</v>
      </c>
    </row>
    <row r="36" spans="4:9" ht="13.5" thickBot="1">
      <c r="D36" s="85" t="s">
        <v>64</v>
      </c>
      <c r="E36" s="80">
        <v>38142</v>
      </c>
      <c r="F36" s="80">
        <v>38147</v>
      </c>
      <c r="G36" s="80">
        <v>38153</v>
      </c>
      <c r="H36" s="80">
        <v>38161</v>
      </c>
      <c r="I36" s="81" t="s">
        <v>63</v>
      </c>
    </row>
    <row r="37" spans="4:9" ht="13.5" thickBot="1">
      <c r="D37" s="82" t="s">
        <v>62</v>
      </c>
      <c r="E37" s="41" t="s">
        <v>13</v>
      </c>
      <c r="F37" s="41" t="s">
        <v>13</v>
      </c>
      <c r="G37" s="41" t="s">
        <v>13</v>
      </c>
      <c r="H37" s="41" t="s">
        <v>13</v>
      </c>
      <c r="I37" s="41" t="s">
        <v>13</v>
      </c>
    </row>
    <row r="38" spans="4:9" ht="12.75">
      <c r="D38" s="42" t="s">
        <v>0</v>
      </c>
      <c r="E38" s="86">
        <f>(81/67.6)*100</f>
        <v>119.8224852071006</v>
      </c>
      <c r="F38" s="86">
        <f>(94/26.04)*100</f>
        <v>360.98310291858684</v>
      </c>
      <c r="G38" s="86">
        <f>(44/35.5)*100</f>
        <v>123.94366197183098</v>
      </c>
      <c r="H38" s="86">
        <v>77</v>
      </c>
      <c r="I38" s="84">
        <f>AVERAGE(E38:H38)</f>
        <v>170.4373125243796</v>
      </c>
    </row>
    <row r="39" spans="4:9" ht="12.75">
      <c r="D39" s="42" t="s">
        <v>2</v>
      </c>
      <c r="E39" s="86">
        <f>(29/56.85)*100</f>
        <v>51.01143359718557</v>
      </c>
      <c r="F39" s="86">
        <f>(208/24.34)*100</f>
        <v>854.5603944124897</v>
      </c>
      <c r="G39" s="86">
        <f>(18/10.77)*100</f>
        <v>167.13091922005572</v>
      </c>
      <c r="H39" s="86">
        <v>97</v>
      </c>
      <c r="I39" s="84">
        <f aca="true" t="shared" si="1" ref="I39:I47">AVERAGE(E39:H39)</f>
        <v>292.4256868074327</v>
      </c>
    </row>
    <row r="40" spans="4:9" ht="12.75">
      <c r="D40" s="42" t="s">
        <v>3</v>
      </c>
      <c r="E40" s="86">
        <f>(98/51.34)*100</f>
        <v>190.8843007401636</v>
      </c>
      <c r="F40" s="86">
        <f>(136/21.61)*100</f>
        <v>629.3382693197594</v>
      </c>
      <c r="G40" s="86">
        <f>(22/13.29)*100</f>
        <v>165.5379984951091</v>
      </c>
      <c r="H40" s="86">
        <v>515</v>
      </c>
      <c r="I40" s="84">
        <f t="shared" si="1"/>
        <v>375.19014213875806</v>
      </c>
    </row>
    <row r="41" spans="4:9" ht="12.75">
      <c r="D41" s="42" t="s">
        <v>4</v>
      </c>
      <c r="E41" s="86">
        <f>(40/64.71)*100</f>
        <v>61.81424818420646</v>
      </c>
      <c r="F41" s="86">
        <f>(300/21.9)*100</f>
        <v>1369.8630136986303</v>
      </c>
      <c r="G41" s="86">
        <f>(52/13.17)*100</f>
        <v>394.83675018982535</v>
      </c>
      <c r="H41" s="86">
        <v>91</v>
      </c>
      <c r="I41" s="84">
        <f t="shared" si="1"/>
        <v>479.37850301816553</v>
      </c>
    </row>
    <row r="42" spans="4:9" ht="12.75">
      <c r="D42" s="42" t="s">
        <v>5</v>
      </c>
      <c r="E42" s="86">
        <f>(79/34.36)*100</f>
        <v>229.918509895227</v>
      </c>
      <c r="F42" s="86">
        <f>(300/19.76)*100</f>
        <v>1518.2186234817814</v>
      </c>
      <c r="G42" s="86">
        <f>(39/4.97)*100</f>
        <v>784.7082494969819</v>
      </c>
      <c r="H42" s="86">
        <v>300</v>
      </c>
      <c r="I42" s="84">
        <f t="shared" si="1"/>
        <v>708.2113457184976</v>
      </c>
    </row>
    <row r="43" spans="4:9" ht="12.75">
      <c r="D43" s="42" t="s">
        <v>6</v>
      </c>
      <c r="E43" s="86">
        <v>47</v>
      </c>
      <c r="F43" s="86">
        <f>(42/48.22)*100</f>
        <v>87.10078805474907</v>
      </c>
      <c r="G43" s="86">
        <v>164</v>
      </c>
      <c r="H43" s="86">
        <v>43</v>
      </c>
      <c r="I43" s="84">
        <f t="shared" si="1"/>
        <v>85.27519701368726</v>
      </c>
    </row>
    <row r="44" spans="4:9" ht="12.75">
      <c r="D44" s="42" t="s">
        <v>7</v>
      </c>
      <c r="E44" s="86">
        <v>38</v>
      </c>
      <c r="F44" s="86">
        <f>(300/48.15)*100</f>
        <v>623.0529595015577</v>
      </c>
      <c r="G44" s="86">
        <f>(85/10.76)*100</f>
        <v>789.9628252788104</v>
      </c>
      <c r="H44" s="86">
        <v>71</v>
      </c>
      <c r="I44" s="84">
        <f t="shared" si="1"/>
        <v>380.503946195092</v>
      </c>
    </row>
    <row r="45" spans="4:9" ht="12.75">
      <c r="D45" s="42" t="s">
        <v>28</v>
      </c>
      <c r="E45" s="86">
        <f>(138/68.18)*100</f>
        <v>202.40539747726604</v>
      </c>
      <c r="F45" s="86">
        <f>(200/43.08)*100</f>
        <v>464.25255338904367</v>
      </c>
      <c r="G45" s="86">
        <f>(41/10.7)*100</f>
        <v>383.177570093458</v>
      </c>
      <c r="H45" s="86">
        <v>204</v>
      </c>
      <c r="I45" s="84">
        <f t="shared" si="1"/>
        <v>313.4588802399419</v>
      </c>
    </row>
    <row r="46" spans="4:9" ht="12.75">
      <c r="D46" s="42" t="s">
        <v>8</v>
      </c>
      <c r="E46" s="86">
        <f>(41/40.78)*100</f>
        <v>100.53948013732222</v>
      </c>
      <c r="F46" s="86">
        <f>(128/18.8)*100</f>
        <v>680.8510638297872</v>
      </c>
      <c r="G46" s="86">
        <f>(58/10.4)*100</f>
        <v>557.6923076923076</v>
      </c>
      <c r="H46" s="86">
        <v>134</v>
      </c>
      <c r="I46" s="84">
        <f t="shared" si="1"/>
        <v>368.27071291485424</v>
      </c>
    </row>
    <row r="47" spans="4:9" ht="12.75">
      <c r="D47" s="42" t="s">
        <v>9</v>
      </c>
      <c r="E47" s="86">
        <v>64</v>
      </c>
      <c r="F47" s="86">
        <f>(300/26.78)*100</f>
        <v>1120.238984316654</v>
      </c>
      <c r="G47" s="86">
        <f>(129/8.16)*100</f>
        <v>1580.8823529411764</v>
      </c>
      <c r="H47" s="86">
        <f>(154/3.58)*100</f>
        <v>4301.675977653631</v>
      </c>
      <c r="I47" s="84">
        <f t="shared" si="1"/>
        <v>1766.6993287278653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H15" sqref="H15"/>
    </sheetView>
  </sheetViews>
  <sheetFormatPr defaultColWidth="9.140625" defaultRowHeight="12.75"/>
  <cols>
    <col min="1" max="1" width="7.28125" style="1" customWidth="1"/>
    <col min="2" max="2" width="14.140625" style="1" customWidth="1"/>
    <col min="3" max="3" width="25.8515625" style="1" customWidth="1"/>
    <col min="4" max="4" width="36.57421875" style="1" customWidth="1"/>
    <col min="5" max="5" width="11.7109375" style="4" customWidth="1"/>
    <col min="6" max="6" width="12.00390625" style="4" customWidth="1"/>
    <col min="7" max="7" width="12.28125" style="4" customWidth="1"/>
    <col min="8" max="8" width="12.421875" style="4" customWidth="1"/>
    <col min="9" max="9" width="14.7109375" style="4" customWidth="1"/>
    <col min="10" max="16384" width="9.140625" style="1" customWidth="1"/>
  </cols>
  <sheetData>
    <row r="1" spans="1:9" ht="26.25" thickBot="1">
      <c r="A1" s="37" t="s">
        <v>14</v>
      </c>
      <c r="B1" s="38" t="s">
        <v>10</v>
      </c>
      <c r="C1" s="37" t="s">
        <v>11</v>
      </c>
      <c r="D1" s="37" t="s">
        <v>12</v>
      </c>
      <c r="E1" s="59" t="s">
        <v>47</v>
      </c>
      <c r="F1" s="59" t="s">
        <v>48</v>
      </c>
      <c r="G1" s="59" t="s">
        <v>49</v>
      </c>
      <c r="H1" s="59" t="s">
        <v>50</v>
      </c>
      <c r="I1" s="59" t="s">
        <v>51</v>
      </c>
    </row>
    <row r="2" spans="1:9" ht="12" thickBot="1">
      <c r="A2" s="5"/>
      <c r="B2" s="6"/>
      <c r="C2" s="5"/>
      <c r="D2" s="5"/>
      <c r="E2" s="7" t="s">
        <v>38</v>
      </c>
      <c r="F2" s="7" t="s">
        <v>38</v>
      </c>
      <c r="G2" s="7" t="s">
        <v>38</v>
      </c>
      <c r="H2" s="7" t="s">
        <v>38</v>
      </c>
      <c r="I2" s="7" t="s">
        <v>38</v>
      </c>
    </row>
    <row r="3" spans="1:10" ht="12.75">
      <c r="A3" s="18" t="s">
        <v>17</v>
      </c>
      <c r="B3" s="19">
        <v>38153</v>
      </c>
      <c r="C3" s="16" t="s">
        <v>23</v>
      </c>
      <c r="D3" s="16" t="s">
        <v>0</v>
      </c>
      <c r="E3" s="60">
        <v>0.034</v>
      </c>
      <c r="F3" s="60">
        <v>0.1775</v>
      </c>
      <c r="G3" s="63">
        <v>0.024</v>
      </c>
      <c r="H3" s="60">
        <v>0</v>
      </c>
      <c r="I3" s="60">
        <v>0.109</v>
      </c>
      <c r="J3" s="18"/>
    </row>
    <row r="4" spans="1:10" ht="12.75">
      <c r="A4" s="23" t="s">
        <v>17</v>
      </c>
      <c r="B4" s="22">
        <v>38153</v>
      </c>
      <c r="C4" s="21" t="s">
        <v>23</v>
      </c>
      <c r="D4" s="21" t="s">
        <v>2</v>
      </c>
      <c r="E4" s="61">
        <v>0.046</v>
      </c>
      <c r="F4" s="61">
        <v>0.2595</v>
      </c>
      <c r="G4" s="61">
        <v>0.04</v>
      </c>
      <c r="H4" s="61">
        <v>0.042</v>
      </c>
      <c r="I4" s="61">
        <v>0</v>
      </c>
      <c r="J4" s="18"/>
    </row>
    <row r="5" spans="1:10" ht="12.75">
      <c r="A5" s="56" t="s">
        <v>17</v>
      </c>
      <c r="B5" s="47">
        <v>38153</v>
      </c>
      <c r="C5" s="42" t="s">
        <v>23</v>
      </c>
      <c r="D5" s="42" t="s">
        <v>3</v>
      </c>
      <c r="E5" s="62">
        <v>0.076</v>
      </c>
      <c r="F5" s="62">
        <v>1.2215</v>
      </c>
      <c r="G5" s="62">
        <v>0.063</v>
      </c>
      <c r="H5" s="62">
        <v>0.023</v>
      </c>
      <c r="I5" s="62">
        <v>1.367</v>
      </c>
      <c r="J5" s="18"/>
    </row>
    <row r="6" spans="1:10" ht="12.75">
      <c r="A6" s="18" t="s">
        <v>17</v>
      </c>
      <c r="B6" s="19">
        <v>38153</v>
      </c>
      <c r="C6" s="16" t="s">
        <v>23</v>
      </c>
      <c r="D6" s="16" t="s">
        <v>4</v>
      </c>
      <c r="E6" s="63">
        <v>0.014</v>
      </c>
      <c r="F6" s="63">
        <v>0.34349999999999997</v>
      </c>
      <c r="G6" s="63">
        <v>0.004</v>
      </c>
      <c r="H6" s="63">
        <v>0.06</v>
      </c>
      <c r="I6" s="63">
        <v>0.222</v>
      </c>
      <c r="J6" s="18"/>
    </row>
    <row r="7" spans="1:10" ht="12.75">
      <c r="A7" s="18" t="s">
        <v>17</v>
      </c>
      <c r="B7" s="19">
        <v>38153</v>
      </c>
      <c r="C7" s="42" t="s">
        <v>23</v>
      </c>
      <c r="D7" s="42" t="s">
        <v>5</v>
      </c>
      <c r="E7" s="18">
        <v>0.088</v>
      </c>
      <c r="F7" s="62">
        <v>1.0675</v>
      </c>
      <c r="G7" s="62">
        <v>0.061</v>
      </c>
      <c r="H7" s="62">
        <v>0.051</v>
      </c>
      <c r="I7" s="62">
        <v>0.532</v>
      </c>
      <c r="J7" s="18"/>
    </row>
    <row r="8" spans="1:10" ht="12.75">
      <c r="A8" s="18" t="s">
        <v>17</v>
      </c>
      <c r="B8" s="19">
        <v>38153</v>
      </c>
      <c r="C8" s="16" t="s">
        <v>23</v>
      </c>
      <c r="D8" s="16" t="s">
        <v>6</v>
      </c>
      <c r="E8" s="63">
        <v>0.051</v>
      </c>
      <c r="F8" s="63">
        <v>0.2885</v>
      </c>
      <c r="G8" s="63">
        <v>0.009</v>
      </c>
      <c r="H8" s="63">
        <v>0.021</v>
      </c>
      <c r="I8" s="63">
        <v>0.184</v>
      </c>
      <c r="J8" s="18"/>
    </row>
    <row r="9" spans="1:10" ht="12.75">
      <c r="A9" s="18" t="s">
        <v>17</v>
      </c>
      <c r="B9" s="19">
        <v>38153</v>
      </c>
      <c r="C9" s="16" t="s">
        <v>23</v>
      </c>
      <c r="D9" s="16" t="s">
        <v>7</v>
      </c>
      <c r="E9" s="63">
        <v>0.049</v>
      </c>
      <c r="F9" s="63">
        <v>1.2705</v>
      </c>
      <c r="G9" s="63">
        <v>0.027</v>
      </c>
      <c r="H9" s="63">
        <v>0.027</v>
      </c>
      <c r="I9" s="63">
        <v>1.376</v>
      </c>
      <c r="J9" s="18"/>
    </row>
    <row r="10" spans="1:10" ht="14.25" customHeight="1">
      <c r="A10" s="18" t="s">
        <v>17</v>
      </c>
      <c r="B10" s="19">
        <v>38153</v>
      </c>
      <c r="C10" s="16" t="s">
        <v>23</v>
      </c>
      <c r="D10" s="16" t="s">
        <v>28</v>
      </c>
      <c r="E10" s="63">
        <v>0.041</v>
      </c>
      <c r="F10" s="63">
        <v>0.34149999999999997</v>
      </c>
      <c r="G10" s="63">
        <v>0.016</v>
      </c>
      <c r="H10" s="63">
        <v>0.061</v>
      </c>
      <c r="I10" s="63">
        <v>0.242</v>
      </c>
      <c r="J10" s="18"/>
    </row>
    <row r="11" spans="1:10" ht="25.5">
      <c r="A11" s="18" t="s">
        <v>17</v>
      </c>
      <c r="B11" s="19">
        <v>38153</v>
      </c>
      <c r="C11" s="42" t="s">
        <v>23</v>
      </c>
      <c r="D11" s="16" t="s">
        <v>8</v>
      </c>
      <c r="E11" s="63">
        <v>0.035</v>
      </c>
      <c r="F11" s="63">
        <v>0.39949999999999997</v>
      </c>
      <c r="G11" s="63">
        <v>0.013</v>
      </c>
      <c r="H11" s="63">
        <v>0.033</v>
      </c>
      <c r="I11" s="63">
        <v>0.28</v>
      </c>
      <c r="J11" s="18"/>
    </row>
    <row r="12" spans="1:10" ht="12.75">
      <c r="A12" s="18" t="s">
        <v>17</v>
      </c>
      <c r="B12" s="19">
        <v>38153</v>
      </c>
      <c r="C12" s="42" t="s">
        <v>23</v>
      </c>
      <c r="D12" s="16" t="s">
        <v>9</v>
      </c>
      <c r="E12" s="18">
        <v>0.048</v>
      </c>
      <c r="F12" s="63">
        <v>0.6495000000000001</v>
      </c>
      <c r="G12" s="63">
        <v>0.041</v>
      </c>
      <c r="H12" s="63">
        <v>0.114</v>
      </c>
      <c r="I12" s="63">
        <v>0.306</v>
      </c>
      <c r="J12" s="18"/>
    </row>
    <row r="13" spans="1:10" ht="12.75">
      <c r="A13" s="18" t="s">
        <v>17</v>
      </c>
      <c r="B13" s="19">
        <v>38153</v>
      </c>
      <c r="C13" s="42" t="s">
        <v>27</v>
      </c>
      <c r="D13" s="42" t="s">
        <v>37</v>
      </c>
      <c r="E13" s="63">
        <v>0</v>
      </c>
      <c r="F13" s="63">
        <v>0.015</v>
      </c>
      <c r="G13" s="63">
        <v>0</v>
      </c>
      <c r="H13" s="63">
        <v>0</v>
      </c>
      <c r="I13" s="63">
        <v>0</v>
      </c>
      <c r="J13" s="18"/>
    </row>
    <row r="14" spans="1:10" ht="12.75">
      <c r="A14" s="18" t="s">
        <v>17</v>
      </c>
      <c r="B14" s="19">
        <v>38153</v>
      </c>
      <c r="C14" s="42" t="s">
        <v>26</v>
      </c>
      <c r="D14" s="42" t="s">
        <v>37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18"/>
    </row>
    <row r="15" spans="1:10" ht="26.25" thickBot="1">
      <c r="A15" s="27" t="s">
        <v>17</v>
      </c>
      <c r="B15" s="25">
        <v>38153</v>
      </c>
      <c r="C15" s="26" t="s">
        <v>25</v>
      </c>
      <c r="D15" s="24" t="s">
        <v>2</v>
      </c>
      <c r="E15" s="64">
        <v>0.042</v>
      </c>
      <c r="F15" s="64">
        <v>0.2885</v>
      </c>
      <c r="G15" s="64">
        <v>0.038</v>
      </c>
      <c r="H15" s="64">
        <v>0.034</v>
      </c>
      <c r="I15" s="64">
        <v>0</v>
      </c>
      <c r="J15" s="18"/>
    </row>
    <row r="16" spans="1:10" ht="12.75">
      <c r="A16" s="28" t="s">
        <v>19</v>
      </c>
      <c r="B16" s="29" t="s">
        <v>36</v>
      </c>
      <c r="C16" s="30"/>
      <c r="D16" s="31" t="s">
        <v>61</v>
      </c>
      <c r="E16" s="33">
        <f>((E4-E15)/E4)*100</f>
        <v>8.695652173913036</v>
      </c>
      <c r="F16" s="33">
        <f>((F15-F4)/F15)*100</f>
        <v>10.051993067590978</v>
      </c>
      <c r="G16" s="33">
        <f>((G4-G15)/G4)*100</f>
        <v>5.000000000000004</v>
      </c>
      <c r="H16" s="33">
        <f>((H4-H15)/H4)*100</f>
        <v>19.047619047619047</v>
      </c>
      <c r="I16" s="33">
        <v>0</v>
      </c>
      <c r="J16" s="18"/>
    </row>
    <row r="17" spans="1:10" ht="12.75">
      <c r="A17" s="34" t="s">
        <v>20</v>
      </c>
      <c r="B17" s="65" t="s">
        <v>46</v>
      </c>
      <c r="C17" s="16"/>
      <c r="D17" s="16"/>
      <c r="E17" s="20"/>
      <c r="F17" s="20"/>
      <c r="G17" s="20"/>
      <c r="H17" s="20"/>
      <c r="I17" s="20"/>
      <c r="J17" s="18"/>
    </row>
    <row r="18" spans="1:10" ht="12.75">
      <c r="A18" s="34" t="s">
        <v>21</v>
      </c>
      <c r="B18" s="29" t="s">
        <v>34</v>
      </c>
      <c r="C18" s="16"/>
      <c r="D18" s="16"/>
      <c r="E18" s="63"/>
      <c r="F18" s="63"/>
      <c r="G18" s="63"/>
      <c r="H18" s="63"/>
      <c r="I18" s="63"/>
      <c r="J18" s="18"/>
    </row>
    <row r="19" spans="1:10" ht="12.75">
      <c r="A19" s="34"/>
      <c r="B19" s="18"/>
      <c r="C19" s="18"/>
      <c r="D19" s="18"/>
      <c r="E19" s="63"/>
      <c r="F19" s="63"/>
      <c r="G19" s="63"/>
      <c r="H19" s="63"/>
      <c r="I19" s="63"/>
      <c r="J19" s="18"/>
    </row>
  </sheetData>
  <printOptions/>
  <pageMargins left="0.41" right="0.34" top="0.75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N36"/>
  <sheetViews>
    <sheetView zoomScale="85" zoomScaleNormal="85" workbookViewId="0" topLeftCell="A1">
      <selection activeCell="E17" sqref="E17"/>
    </sheetView>
  </sheetViews>
  <sheetFormatPr defaultColWidth="9.140625" defaultRowHeight="12.75"/>
  <cols>
    <col min="1" max="1" width="9.57421875" style="8" customWidth="1"/>
    <col min="2" max="2" width="13.140625" style="8" customWidth="1"/>
    <col min="3" max="3" width="27.28125" style="8" customWidth="1"/>
    <col min="4" max="4" width="38.00390625" style="8" customWidth="1"/>
    <col min="5" max="5" width="20.28125" style="8" customWidth="1"/>
    <col min="6" max="6" width="19.421875" style="9" customWidth="1"/>
    <col min="7" max="7" width="17.140625" style="9" customWidth="1"/>
    <col min="8" max="8" width="9.140625" style="9" customWidth="1"/>
    <col min="9" max="9" width="11.421875" style="9" customWidth="1"/>
    <col min="10" max="10" width="11.7109375" style="9" customWidth="1"/>
    <col min="11" max="11" width="9.140625" style="9" customWidth="1"/>
    <col min="12" max="12" width="13.57421875" style="9" customWidth="1"/>
    <col min="13" max="16384" width="9.140625" style="8" customWidth="1"/>
  </cols>
  <sheetData>
    <row r="1" spans="1:92" ht="26.25" thickBot="1">
      <c r="A1" s="37" t="s">
        <v>14</v>
      </c>
      <c r="B1" s="38" t="s">
        <v>10</v>
      </c>
      <c r="C1" s="37" t="s">
        <v>11</v>
      </c>
      <c r="D1" s="37" t="s">
        <v>12</v>
      </c>
      <c r="E1" s="37"/>
      <c r="F1" s="59" t="s">
        <v>52</v>
      </c>
      <c r="G1" s="59" t="s">
        <v>53</v>
      </c>
      <c r="H1" s="59" t="s">
        <v>54</v>
      </c>
      <c r="I1" s="59" t="s">
        <v>55</v>
      </c>
      <c r="J1" s="59" t="s">
        <v>56</v>
      </c>
      <c r="K1" s="59" t="s">
        <v>57</v>
      </c>
      <c r="L1" s="59" t="s">
        <v>58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</row>
    <row r="2" spans="1:92" ht="13.5" thickBot="1">
      <c r="A2" s="30"/>
      <c r="B2" s="39"/>
      <c r="C2" s="30"/>
      <c r="D2" s="30"/>
      <c r="E2" s="66"/>
      <c r="F2" s="67" t="s">
        <v>29</v>
      </c>
      <c r="G2" s="67" t="s">
        <v>29</v>
      </c>
      <c r="H2" s="67" t="s">
        <v>29</v>
      </c>
      <c r="I2" s="67" t="s">
        <v>29</v>
      </c>
      <c r="J2" s="67" t="s">
        <v>29</v>
      </c>
      <c r="K2" s="67" t="s">
        <v>29</v>
      </c>
      <c r="L2" s="67" t="s">
        <v>29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</row>
    <row r="3" spans="1:92" ht="12.75">
      <c r="A3" s="30"/>
      <c r="B3" s="39"/>
      <c r="C3" s="30"/>
      <c r="D3" s="15"/>
      <c r="E3" s="73" t="s">
        <v>59</v>
      </c>
      <c r="F3" s="74">
        <v>0.008</v>
      </c>
      <c r="G3" s="74">
        <v>0.004</v>
      </c>
      <c r="H3" s="74">
        <v>0.003</v>
      </c>
      <c r="I3" s="74">
        <v>0.008</v>
      </c>
      <c r="J3" s="74">
        <v>0.006</v>
      </c>
      <c r="K3" s="74">
        <v>0.003</v>
      </c>
      <c r="L3" s="74">
        <v>0.002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</row>
    <row r="4" spans="1:92" ht="12.75">
      <c r="A4" s="18" t="s">
        <v>17</v>
      </c>
      <c r="B4" s="19">
        <v>38153</v>
      </c>
      <c r="C4" s="16" t="s">
        <v>23</v>
      </c>
      <c r="D4" s="16" t="s">
        <v>0</v>
      </c>
      <c r="E4" s="30"/>
      <c r="F4" s="60">
        <v>0</v>
      </c>
      <c r="G4" s="60">
        <v>0.03376383692453805</v>
      </c>
      <c r="H4" s="60">
        <v>0.045807798538089584</v>
      </c>
      <c r="I4" s="60">
        <v>0.03246455578527078</v>
      </c>
      <c r="J4" s="60">
        <v>0</v>
      </c>
      <c r="K4" s="60">
        <v>0</v>
      </c>
      <c r="L4" s="60"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</row>
    <row r="5" spans="1:92" ht="12.75">
      <c r="A5" s="23" t="s">
        <v>17</v>
      </c>
      <c r="B5" s="22">
        <v>38153</v>
      </c>
      <c r="C5" s="21" t="s">
        <v>23</v>
      </c>
      <c r="D5" s="21" t="s">
        <v>2</v>
      </c>
      <c r="E5" s="21"/>
      <c r="F5" s="61">
        <v>0</v>
      </c>
      <c r="G5" s="61">
        <v>0.21880807196486374</v>
      </c>
      <c r="H5" s="61">
        <v>0.7961527739072813</v>
      </c>
      <c r="I5" s="61">
        <v>0</v>
      </c>
      <c r="J5" s="61">
        <v>0</v>
      </c>
      <c r="K5" s="61">
        <v>0</v>
      </c>
      <c r="L5" s="61">
        <v>0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</row>
    <row r="6" spans="1:92" s="76" customFormat="1" ht="12.75">
      <c r="A6" s="56" t="s">
        <v>17</v>
      </c>
      <c r="B6" s="47">
        <v>38153</v>
      </c>
      <c r="C6" s="42" t="s">
        <v>23</v>
      </c>
      <c r="D6" s="42" t="s">
        <v>3</v>
      </c>
      <c r="E6" s="42"/>
      <c r="F6" s="62">
        <v>0</v>
      </c>
      <c r="G6" s="62">
        <v>0.1583994193570707</v>
      </c>
      <c r="H6" s="62">
        <v>0.19130010883605494</v>
      </c>
      <c r="I6" s="62">
        <v>0</v>
      </c>
      <c r="J6" s="62">
        <v>0</v>
      </c>
      <c r="K6" s="62">
        <v>0</v>
      </c>
      <c r="L6" s="62">
        <v>0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</row>
    <row r="7" spans="1:92" ht="12.75">
      <c r="A7" s="18" t="s">
        <v>17</v>
      </c>
      <c r="B7" s="19">
        <v>38153</v>
      </c>
      <c r="C7" s="16" t="s">
        <v>23</v>
      </c>
      <c r="D7" s="16" t="s">
        <v>4</v>
      </c>
      <c r="E7" s="16"/>
      <c r="F7" s="63">
        <v>0</v>
      </c>
      <c r="G7" s="63">
        <v>0.24325255432925494</v>
      </c>
      <c r="H7" s="63">
        <v>0.5108534448420277</v>
      </c>
      <c r="I7" s="63">
        <v>0</v>
      </c>
      <c r="J7" s="63">
        <v>0</v>
      </c>
      <c r="K7" s="63">
        <v>0</v>
      </c>
      <c r="L7" s="63"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  <row r="8" spans="1:92" ht="12.75">
      <c r="A8" s="18" t="s">
        <v>17</v>
      </c>
      <c r="B8" s="19">
        <v>38153</v>
      </c>
      <c r="C8" s="42" t="s">
        <v>23</v>
      </c>
      <c r="D8" s="42" t="s">
        <v>5</v>
      </c>
      <c r="E8" s="42"/>
      <c r="F8" s="63">
        <v>0.17635355885206433</v>
      </c>
      <c r="G8" s="63">
        <v>0.476666541185376</v>
      </c>
      <c r="H8" s="63">
        <v>0.9830961933874725</v>
      </c>
      <c r="I8" s="63">
        <v>0</v>
      </c>
      <c r="J8" s="63">
        <v>0.1055165886896503</v>
      </c>
      <c r="K8" s="63">
        <v>0</v>
      </c>
      <c r="L8" s="63">
        <v>0.1728486372957756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</row>
    <row r="9" spans="1:92" ht="12.75">
      <c r="A9" s="18" t="s">
        <v>17</v>
      </c>
      <c r="B9" s="19">
        <v>38153</v>
      </c>
      <c r="C9" s="16" t="s">
        <v>23</v>
      </c>
      <c r="D9" s="16" t="s">
        <v>6</v>
      </c>
      <c r="E9" s="16"/>
      <c r="F9" s="63">
        <v>0</v>
      </c>
      <c r="G9" s="63">
        <v>0.3051931297920618</v>
      </c>
      <c r="H9" s="63">
        <v>0.6736349095684228</v>
      </c>
      <c r="I9" s="63">
        <v>0</v>
      </c>
      <c r="J9" s="63">
        <v>0</v>
      </c>
      <c r="K9" s="63">
        <v>0</v>
      </c>
      <c r="L9" s="63"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</row>
    <row r="10" spans="1:92" ht="12.75">
      <c r="A10" s="18" t="s">
        <v>17</v>
      </c>
      <c r="B10" s="19">
        <v>38153</v>
      </c>
      <c r="C10" s="16" t="s">
        <v>23</v>
      </c>
      <c r="D10" s="16" t="s">
        <v>7</v>
      </c>
      <c r="E10" s="16"/>
      <c r="F10" s="63">
        <v>0</v>
      </c>
      <c r="G10" s="63">
        <v>0.17255630539253275</v>
      </c>
      <c r="H10" s="63">
        <v>0.400884146389698</v>
      </c>
      <c r="I10" s="63">
        <v>0</v>
      </c>
      <c r="J10" s="63">
        <v>0</v>
      </c>
      <c r="K10" s="63">
        <v>0</v>
      </c>
      <c r="L10" s="63"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1" spans="1:92" ht="12.75">
      <c r="A11" s="18" t="s">
        <v>17</v>
      </c>
      <c r="B11" s="19">
        <v>38153</v>
      </c>
      <c r="C11" s="16" t="s">
        <v>23</v>
      </c>
      <c r="D11" s="16" t="s">
        <v>28</v>
      </c>
      <c r="E11" s="16"/>
      <c r="F11" s="63">
        <v>0</v>
      </c>
      <c r="G11" s="63">
        <v>0.2733651798709689</v>
      </c>
      <c r="H11" s="63">
        <v>0.36998857261307405</v>
      </c>
      <c r="I11" s="63">
        <v>0</v>
      </c>
      <c r="J11" s="63">
        <v>0</v>
      </c>
      <c r="K11" s="63">
        <v>0</v>
      </c>
      <c r="L11" s="63"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</row>
    <row r="12" spans="1:92" ht="12.75">
      <c r="A12" s="18" t="s">
        <v>17</v>
      </c>
      <c r="B12" s="19">
        <v>38153</v>
      </c>
      <c r="C12" s="16" t="s">
        <v>23</v>
      </c>
      <c r="D12" s="16" t="s">
        <v>8</v>
      </c>
      <c r="E12" s="16"/>
      <c r="F12" s="63">
        <v>0</v>
      </c>
      <c r="G12" s="63">
        <v>0.10856860387216202</v>
      </c>
      <c r="H12" s="63">
        <v>0.3308003106291147</v>
      </c>
      <c r="I12" s="63">
        <v>0</v>
      </c>
      <c r="J12" s="63">
        <v>0</v>
      </c>
      <c r="K12" s="63">
        <v>0</v>
      </c>
      <c r="L12" s="63"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</row>
    <row r="13" spans="1:92" ht="12.75">
      <c r="A13" s="18" t="s">
        <v>17</v>
      </c>
      <c r="B13" s="19">
        <v>38153</v>
      </c>
      <c r="C13" s="16" t="s">
        <v>23</v>
      </c>
      <c r="D13" s="16" t="s">
        <v>9</v>
      </c>
      <c r="E13" s="16"/>
      <c r="F13" s="63">
        <v>0</v>
      </c>
      <c r="G13" s="63">
        <v>0.19499968792328637</v>
      </c>
      <c r="H13" s="63">
        <v>0.3520433441641207</v>
      </c>
      <c r="I13" s="63">
        <v>0</v>
      </c>
      <c r="J13" s="63">
        <v>0.19572449442338094</v>
      </c>
      <c r="K13" s="63">
        <v>0</v>
      </c>
      <c r="L13" s="63"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</row>
    <row r="14" spans="1:92" ht="12.75">
      <c r="A14" s="18" t="s">
        <v>17</v>
      </c>
      <c r="B14" s="19">
        <v>38153</v>
      </c>
      <c r="C14" s="42" t="s">
        <v>27</v>
      </c>
      <c r="D14" s="42" t="s">
        <v>37</v>
      </c>
      <c r="E14" s="42"/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</row>
    <row r="15" spans="1:92" ht="12.75">
      <c r="A15" s="18" t="s">
        <v>17</v>
      </c>
      <c r="B15" s="19">
        <v>38153</v>
      </c>
      <c r="C15" s="42" t="s">
        <v>26</v>
      </c>
      <c r="D15" s="42" t="s">
        <v>37</v>
      </c>
      <c r="E15" s="42"/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</row>
    <row r="16" spans="1:92" ht="13.5" thickBot="1">
      <c r="A16" s="27" t="s">
        <v>17</v>
      </c>
      <c r="B16" s="25">
        <v>38153</v>
      </c>
      <c r="C16" s="26" t="s">
        <v>25</v>
      </c>
      <c r="D16" s="24" t="s">
        <v>2</v>
      </c>
      <c r="E16" s="24"/>
      <c r="F16" s="64">
        <v>0</v>
      </c>
      <c r="G16" s="64">
        <v>0.22968791502629374</v>
      </c>
      <c r="H16" s="64">
        <v>0.7462804405907151</v>
      </c>
      <c r="I16" s="64">
        <v>0</v>
      </c>
      <c r="J16" s="64">
        <v>0</v>
      </c>
      <c r="K16" s="64">
        <v>0</v>
      </c>
      <c r="L16" s="64">
        <v>0.04291295604976669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</row>
    <row r="17" spans="1:92" ht="12.75">
      <c r="A17" s="70" t="s">
        <v>19</v>
      </c>
      <c r="B17" s="71" t="s">
        <v>60</v>
      </c>
      <c r="C17" s="72"/>
      <c r="D17" s="68"/>
      <c r="E17" s="77" t="s">
        <v>61</v>
      </c>
      <c r="F17" s="32" t="s">
        <v>24</v>
      </c>
      <c r="G17" s="33">
        <f>((G5-G16)/G5)*100</f>
        <v>-4.972322530759783</v>
      </c>
      <c r="H17" s="33">
        <f>((H5-H16)/H5)*100</f>
        <v>6.264166244351278</v>
      </c>
      <c r="I17" s="33" t="s">
        <v>24</v>
      </c>
      <c r="J17" s="32" t="s">
        <v>24</v>
      </c>
      <c r="K17" s="32" t="s">
        <v>24</v>
      </c>
      <c r="L17" s="3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</row>
    <row r="18" spans="1:92" ht="12.75">
      <c r="A18" s="36"/>
      <c r="B18" s="35" t="s">
        <v>40</v>
      </c>
      <c r="C18" s="15"/>
      <c r="D18" s="68"/>
      <c r="E18" s="68"/>
      <c r="F18" s="69"/>
      <c r="G18" s="69"/>
      <c r="H18" s="69"/>
      <c r="I18" s="69"/>
      <c r="J18" s="69"/>
      <c r="K18" s="69"/>
      <c r="L18" s="6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</row>
    <row r="19" spans="1:92" ht="12.75">
      <c r="A19" s="15"/>
      <c r="B19" s="15"/>
      <c r="C19" s="15"/>
      <c r="D19" s="15"/>
      <c r="E19" s="15"/>
      <c r="F19" s="69"/>
      <c r="G19" s="69"/>
      <c r="H19" s="69"/>
      <c r="I19" s="69"/>
      <c r="J19" s="69"/>
      <c r="K19" s="69"/>
      <c r="L19" s="6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</row>
    <row r="20" spans="1:92" ht="12.75">
      <c r="A20" s="15"/>
      <c r="B20" s="15"/>
      <c r="C20" s="15"/>
      <c r="D20" s="15"/>
      <c r="E20" s="15"/>
      <c r="F20" s="11"/>
      <c r="G20" s="11"/>
      <c r="H20" s="11"/>
      <c r="I20" s="11"/>
      <c r="J20" s="11"/>
      <c r="K20" s="11"/>
      <c r="L20" s="1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</row>
    <row r="21" spans="1:92" ht="12.75">
      <c r="A21" s="15"/>
      <c r="B21" s="15"/>
      <c r="C21" s="15"/>
      <c r="D21" s="15"/>
      <c r="E21" s="15"/>
      <c r="F21" s="78"/>
      <c r="G21" s="78"/>
      <c r="H21" s="78"/>
      <c r="I21" s="78"/>
      <c r="J21" s="78"/>
      <c r="K21" s="78"/>
      <c r="L21" s="7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</row>
    <row r="22" spans="1:92" ht="12.75">
      <c r="A22" s="15"/>
      <c r="B22" s="15"/>
      <c r="C22" s="15"/>
      <c r="D22" s="15"/>
      <c r="E22" s="15"/>
      <c r="F22" s="63"/>
      <c r="G22" s="63"/>
      <c r="H22" s="63"/>
      <c r="I22" s="63"/>
      <c r="J22" s="63"/>
      <c r="K22" s="63"/>
      <c r="L22" s="6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</row>
    <row r="23" spans="6:12" ht="12.75">
      <c r="F23" s="63"/>
      <c r="G23" s="63"/>
      <c r="H23" s="63"/>
      <c r="I23" s="63"/>
      <c r="J23" s="63"/>
      <c r="K23" s="63"/>
      <c r="L23" s="63"/>
    </row>
    <row r="24" spans="6:12" ht="12.75">
      <c r="F24" s="62"/>
      <c r="G24" s="62"/>
      <c r="H24" s="62"/>
      <c r="I24" s="62"/>
      <c r="J24" s="62"/>
      <c r="K24" s="62"/>
      <c r="L24" s="62"/>
    </row>
    <row r="25" spans="6:12" ht="12.75">
      <c r="F25" s="63"/>
      <c r="G25" s="63"/>
      <c r="H25" s="63"/>
      <c r="I25" s="63"/>
      <c r="J25" s="63"/>
      <c r="K25" s="63"/>
      <c r="L25" s="63"/>
    </row>
    <row r="26" spans="6:12" ht="12.75">
      <c r="F26" s="63"/>
      <c r="G26" s="63"/>
      <c r="H26" s="63"/>
      <c r="I26" s="63"/>
      <c r="J26" s="63"/>
      <c r="K26" s="63"/>
      <c r="L26" s="63"/>
    </row>
    <row r="27" spans="6:12" ht="12.75">
      <c r="F27" s="63"/>
      <c r="G27" s="63"/>
      <c r="H27" s="63"/>
      <c r="I27" s="63"/>
      <c r="J27" s="63"/>
      <c r="K27" s="63"/>
      <c r="L27" s="63"/>
    </row>
    <row r="28" spans="6:12" ht="12.75">
      <c r="F28" s="63"/>
      <c r="G28" s="63"/>
      <c r="H28" s="63"/>
      <c r="I28" s="63"/>
      <c r="J28" s="63"/>
      <c r="K28" s="63"/>
      <c r="L28" s="63"/>
    </row>
    <row r="29" spans="6:12" ht="12.75">
      <c r="F29" s="63"/>
      <c r="G29" s="63"/>
      <c r="H29" s="63"/>
      <c r="I29" s="63"/>
      <c r="J29" s="63"/>
      <c r="K29" s="63"/>
      <c r="L29" s="63"/>
    </row>
    <row r="30" spans="6:12" ht="12.75">
      <c r="F30" s="63"/>
      <c r="G30" s="63"/>
      <c r="H30" s="63"/>
      <c r="I30" s="63"/>
      <c r="J30" s="63"/>
      <c r="K30" s="63"/>
      <c r="L30" s="63"/>
    </row>
    <row r="31" spans="6:12" ht="12.75">
      <c r="F31" s="63"/>
      <c r="G31" s="63"/>
      <c r="H31" s="63"/>
      <c r="I31" s="63"/>
      <c r="J31" s="63"/>
      <c r="K31" s="63"/>
      <c r="L31" s="63"/>
    </row>
    <row r="32" spans="6:12" ht="12.75">
      <c r="F32" s="63"/>
      <c r="G32" s="63"/>
      <c r="H32" s="63"/>
      <c r="I32" s="63"/>
      <c r="J32" s="63"/>
      <c r="K32" s="63"/>
      <c r="L32" s="63"/>
    </row>
    <row r="33" spans="6:12" ht="12.75">
      <c r="F33" s="63"/>
      <c r="G33" s="63"/>
      <c r="H33" s="63"/>
      <c r="I33" s="63"/>
      <c r="J33" s="63"/>
      <c r="K33" s="63"/>
      <c r="L33" s="63"/>
    </row>
    <row r="34" spans="6:12" ht="12.75">
      <c r="F34" s="63"/>
      <c r="G34" s="63"/>
      <c r="H34" s="63"/>
      <c r="I34" s="63"/>
      <c r="J34" s="63"/>
      <c r="K34" s="63"/>
      <c r="L34" s="63"/>
    </row>
    <row r="35" spans="6:12" ht="12.75">
      <c r="F35" s="63"/>
      <c r="G35" s="63"/>
      <c r="H35" s="63"/>
      <c r="I35" s="63"/>
      <c r="J35" s="63"/>
      <c r="K35" s="63"/>
      <c r="L35" s="63"/>
    </row>
    <row r="36" spans="6:12" ht="12.75">
      <c r="F36" s="63"/>
      <c r="G36" s="63"/>
      <c r="H36" s="63"/>
      <c r="I36" s="63"/>
      <c r="J36" s="63"/>
      <c r="K36" s="63"/>
      <c r="L36" s="63"/>
    </row>
  </sheetData>
  <printOptions/>
  <pageMargins left="0.39" right="0.4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Stanley</dc:creator>
  <cp:keywords/>
  <dc:description/>
  <cp:lastModifiedBy>PZ14254</cp:lastModifiedBy>
  <cp:lastPrinted>2004-07-26T19:12:59Z</cp:lastPrinted>
  <dcterms:created xsi:type="dcterms:W3CDTF">2004-07-12T15:56:04Z</dcterms:created>
  <dcterms:modified xsi:type="dcterms:W3CDTF">2004-12-03T14:02:20Z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-1763211425</vt:i4>
  </property>
  <property fmtid="{D5CDD505-2E9C-101B-9397-08002B2CF9AE}" pid="3" name="_EmailSubject">
    <vt:lpwstr/>
  </property>
  <property fmtid="{D5CDD505-2E9C-101B-9397-08002B2CF9AE}" pid="4" name="_AuthorEmail">
    <vt:lpwstr>StanleyL@missouri.edu</vt:lpwstr>
  </property>
  <property fmtid="{D5CDD505-2E9C-101B-9397-08002B2CF9AE}" pid="5" name="_AuthorEmailDisplayName">
    <vt:lpwstr>Stanley, Lynn</vt:lpwstr>
  </property>
  <property fmtid="{D5CDD505-2E9C-101B-9397-08002B2CF9AE}" pid="6" name="_ReviewingToolsShownOnce">
    <vt:lpwstr/>
  </property>
</Properties>
</file>